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Projects\Side_projects\"/>
    </mc:Choice>
  </mc:AlternateContent>
  <bookViews>
    <workbookView xWindow="0" yWindow="0" windowWidth="20460" windowHeight="7545" tabRatio="636" activeTab="1"/>
  </bookViews>
  <sheets>
    <sheet name="sample" sheetId="16" r:id="rId1"/>
    <sheet name="ex0" sheetId="34" r:id="rId2"/>
    <sheet name="Feed stuff" sheetId="2" r:id="rId3"/>
    <sheet name="NRC" sheetId="1" r:id="rId4"/>
    <sheet name="feedstuff2016" sheetId="29" r:id="rId5"/>
    <sheet name="Ross 308(2019)" sheetId="6" r:id="rId6"/>
    <sheet name="AA(2019)" sheetId="7" r:id="rId7"/>
    <sheet name="Cobb 500(2018)" sheetId="8" r:id="rId8"/>
  </sheets>
  <definedNames>
    <definedName name="solver_adj" localSheetId="1" hidden="1">ex0!$C$21:$C$28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0" localSheetId="1" hidden="1">ex0!$G$34</definedName>
    <definedName name="solver_lhs1" localSheetId="1" hidden="1">ex0!$J$34</definedName>
    <definedName name="solver_lhs10" localSheetId="1" hidden="1">ex0!$G$34</definedName>
    <definedName name="solver_lhs11" localSheetId="1" hidden="1">ex0!$F$34</definedName>
    <definedName name="solver_lhs12" localSheetId="1" hidden="1">ex0!$K$34</definedName>
    <definedName name="solver_lhs13" localSheetId="1" hidden="1">ex0!$I$34</definedName>
    <definedName name="solver_lhs14" localSheetId="1" hidden="1">ex0!#REF!</definedName>
    <definedName name="solver_lhs15" localSheetId="1" hidden="1">ex0!$K$34</definedName>
    <definedName name="solver_lhs16" localSheetId="1" hidden="1">ex0!$K$34</definedName>
    <definedName name="solver_lhs17" localSheetId="1" hidden="1">ex0!$I$34</definedName>
    <definedName name="solver_lhs18" localSheetId="1" hidden="1">ex0!#REF!</definedName>
    <definedName name="solver_lhs19" localSheetId="1" hidden="1">ex0!#REF!</definedName>
    <definedName name="solver_lhs2" localSheetId="1" hidden="1">ex0!$K$34</definedName>
    <definedName name="solver_lhs20" localSheetId="1" hidden="1">ex0!#REF!</definedName>
    <definedName name="solver_lhs21" localSheetId="1" hidden="1">ex0!#REF!</definedName>
    <definedName name="solver_lhs22" localSheetId="1" hidden="1">ex0!#REF!</definedName>
    <definedName name="solver_lhs23" localSheetId="1" hidden="1">ex0!#REF!</definedName>
    <definedName name="solver_lhs24" localSheetId="1" hidden="1">ex0!#REF!</definedName>
    <definedName name="solver_lhs25" localSheetId="1" hidden="1">ex0!#REF!</definedName>
    <definedName name="solver_lhs26" localSheetId="1" hidden="1">ex0!$J$34</definedName>
    <definedName name="solver_lhs27" localSheetId="1" hidden="1">ex0!$K$34</definedName>
    <definedName name="solver_lhs28" localSheetId="1" hidden="1">ex0!$K$34</definedName>
    <definedName name="solver_lhs3" localSheetId="1" hidden="1">ex0!$C$24</definedName>
    <definedName name="solver_lhs4" localSheetId="1" hidden="1">ex0!$C$34</definedName>
    <definedName name="solver_lhs5" localSheetId="1" hidden="1">ex0!$C$25</definedName>
    <definedName name="solver_lhs6" localSheetId="1" hidden="1">ex0!$E$34</definedName>
    <definedName name="solver_lhs7" localSheetId="1" hidden="1">ex0!$F$34</definedName>
    <definedName name="solver_lhs8" localSheetId="1" hidden="1">ex0!$C$24</definedName>
    <definedName name="solver_lhs9" localSheetId="1" hidden="1">ex0!$C$25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nwt" localSheetId="1" hidden="1">1</definedName>
    <definedName name="solver_opt" localSheetId="1" hidden="1">ex0!$D$34</definedName>
    <definedName name="solver_pre" localSheetId="1" hidden="1">0.000001</definedName>
    <definedName name="solver_rbv" localSheetId="1" hidden="1">1</definedName>
    <definedName name="solver_rel0" localSheetId="1" hidden="1">2</definedName>
    <definedName name="solver_rel1" localSheetId="1" hidden="1">2</definedName>
    <definedName name="solver_rel10" localSheetId="1" hidden="1">3</definedName>
    <definedName name="solver_rel11" localSheetId="1" hidden="1">2</definedName>
    <definedName name="solver_rel12" localSheetId="1" hidden="1">2</definedName>
    <definedName name="solver_rel13" localSheetId="1" hidden="1">2</definedName>
    <definedName name="solver_rel14" localSheetId="1" hidden="1">2</definedName>
    <definedName name="solver_rel15" localSheetId="1" hidden="1">2</definedName>
    <definedName name="solver_rel16" localSheetId="1" hidden="1">3</definedName>
    <definedName name="solver_rel17" localSheetId="1" hidden="1">2</definedName>
    <definedName name="solver_rel18" localSheetId="1" hidden="1">3</definedName>
    <definedName name="solver_rel19" localSheetId="1" hidden="1">3</definedName>
    <definedName name="solver_rel2" localSheetId="1" hidden="1">2</definedName>
    <definedName name="solver_rel20" localSheetId="1" hidden="1">3</definedName>
    <definedName name="solver_rel21" localSheetId="1" hidden="1">3</definedName>
    <definedName name="solver_rel22" localSheetId="1" hidden="1">3</definedName>
    <definedName name="solver_rel23" localSheetId="1" hidden="1">3</definedName>
    <definedName name="solver_rel24" localSheetId="1" hidden="1">3</definedName>
    <definedName name="solver_rel25" localSheetId="1" hidden="1">3</definedName>
    <definedName name="solver_rel26" localSheetId="1" hidden="1">2</definedName>
    <definedName name="solver_rel27" localSheetId="1" hidden="1">2</definedName>
    <definedName name="solver_rel28" localSheetId="1" hidden="1">2</definedName>
    <definedName name="solver_rel3" localSheetId="1" hidden="1">1</definedName>
    <definedName name="solver_rel4" localSheetId="1" hidden="1">2</definedName>
    <definedName name="solver_rel5" localSheetId="1" hidden="1">1</definedName>
    <definedName name="solver_rel6" localSheetId="1" hidden="1">2</definedName>
    <definedName name="solver_rel7" localSheetId="1" hidden="1">2</definedName>
    <definedName name="solver_rel8" localSheetId="1" hidden="1">1</definedName>
    <definedName name="solver_rel9" localSheetId="1" hidden="1">1</definedName>
    <definedName name="solver_rhs0" localSheetId="1" hidden="1">ex0!$G$35</definedName>
    <definedName name="solver_rhs1" localSheetId="1" hidden="1">ex0!$J$35</definedName>
    <definedName name="solver_rhs10" localSheetId="1" hidden="1">ex0!$G$35</definedName>
    <definedName name="solver_rhs11" localSheetId="1" hidden="1">ex0!$F$35</definedName>
    <definedName name="solver_rhs12" localSheetId="1" hidden="1">ex0!$K$35</definedName>
    <definedName name="solver_rhs13" localSheetId="1" hidden="1">ex0!$I$35</definedName>
    <definedName name="solver_rhs14" localSheetId="1" hidden="1">0</definedName>
    <definedName name="solver_rhs15" localSheetId="1" hidden="1">ex0!$K$35</definedName>
    <definedName name="solver_rhs16" localSheetId="1" hidden="1">ex0!$K$35*0.999</definedName>
    <definedName name="solver_rhs17" localSheetId="1" hidden="1">ex0!#REF!</definedName>
    <definedName name="solver_rhs18" localSheetId="1" hidden="1">ex0!$J$35*1.001</definedName>
    <definedName name="solver_rhs19" localSheetId="1" hidden="1">ex0!$K$35</definedName>
    <definedName name="solver_rhs2" localSheetId="1" hidden="1">ex0!$K$35</definedName>
    <definedName name="solver_rhs20" localSheetId="1" hidden="1">ex0!#REF!</definedName>
    <definedName name="solver_rhs21" localSheetId="1" hidden="1">ex0!#REF!</definedName>
    <definedName name="solver_rhs22" localSheetId="1" hidden="1">ex0!#REF!</definedName>
    <definedName name="solver_rhs23" localSheetId="1" hidden="1">ex0!#REF!</definedName>
    <definedName name="solver_rhs24" localSheetId="1" hidden="1">ex0!#REF!</definedName>
    <definedName name="solver_rhs25" localSheetId="1" hidden="1">ex0!#REF!</definedName>
    <definedName name="solver_rhs26" localSheetId="1" hidden="1">ex0!#REF!</definedName>
    <definedName name="solver_rhs27" localSheetId="1" hidden="1">ex0!#REF!</definedName>
    <definedName name="solver_rhs28" localSheetId="1" hidden="1">ex0!#REF!</definedName>
    <definedName name="solver_rhs3" localSheetId="1" hidden="1">3</definedName>
    <definedName name="solver_rhs4" localSheetId="1" hidden="1">ex0!$C$35</definedName>
    <definedName name="solver_rhs5" localSheetId="1" hidden="1">1.5</definedName>
    <definedName name="solver_rhs6" localSheetId="1" hidden="1">ex0!$E$35</definedName>
    <definedName name="solver_rhs7" localSheetId="1" hidden="1">ex0!$F$35</definedName>
    <definedName name="solver_rhs8" localSheetId="1" hidden="1">3</definedName>
    <definedName name="solver_rhs9" localSheetId="1" hidden="1">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34" l="1"/>
  <c r="B22" i="34"/>
  <c r="B23" i="34"/>
  <c r="B24" i="34"/>
  <c r="B25" i="34"/>
  <c r="B26" i="34"/>
  <c r="B27" i="34"/>
  <c r="B28" i="34"/>
  <c r="B29" i="34"/>
  <c r="B30" i="34"/>
  <c r="B31" i="34"/>
  <c r="B32" i="34"/>
  <c r="B33" i="34"/>
  <c r="B21" i="34"/>
  <c r="C34" i="34"/>
  <c r="J21" i="34"/>
  <c r="K21" i="34"/>
  <c r="J22" i="34"/>
  <c r="K22" i="34"/>
  <c r="J23" i="34"/>
  <c r="K23" i="34"/>
  <c r="J25" i="34"/>
  <c r="K25" i="34"/>
  <c r="J26" i="34"/>
  <c r="K26" i="34"/>
  <c r="F26" i="34"/>
  <c r="E26" i="34"/>
  <c r="F25" i="34"/>
  <c r="F34" i="34" s="1"/>
  <c r="E25" i="34"/>
  <c r="D25" i="34"/>
  <c r="O4" i="34"/>
  <c r="N4" i="34"/>
  <c r="M4" i="34"/>
  <c r="L4" i="34"/>
  <c r="K4" i="34"/>
  <c r="J34" i="34" l="1"/>
  <c r="K34" i="34"/>
  <c r="E34" i="34"/>
  <c r="Z21" i="2" l="1"/>
  <c r="Y21" i="2"/>
  <c r="X21" i="2"/>
  <c r="W21" i="2"/>
  <c r="V21" i="2"/>
  <c r="U21" i="2"/>
  <c r="T21" i="2"/>
  <c r="R21" i="2"/>
  <c r="Q21" i="2"/>
  <c r="P21" i="2"/>
  <c r="B68" i="2" l="1"/>
  <c r="C68" i="2"/>
  <c r="E68" i="2"/>
  <c r="F68" i="2"/>
  <c r="G68" i="2"/>
  <c r="H68" i="2"/>
  <c r="I68" i="2"/>
  <c r="J68" i="2"/>
  <c r="K68" i="2"/>
  <c r="L68" i="2"/>
  <c r="M68" i="2"/>
  <c r="C69" i="2"/>
  <c r="E69" i="2"/>
  <c r="F69" i="2"/>
  <c r="G69" i="2"/>
  <c r="H69" i="2"/>
  <c r="I69" i="2"/>
  <c r="J69" i="2"/>
  <c r="K69" i="2"/>
  <c r="L69" i="2"/>
  <c r="M69" i="2"/>
  <c r="B69" i="2"/>
  <c r="D67" i="2"/>
  <c r="E57" i="2" l="1"/>
  <c r="D65" i="2"/>
  <c r="D68" i="2" s="1"/>
  <c r="D66" i="2"/>
  <c r="D69" i="2" s="1"/>
  <c r="D63" i="2" l="1"/>
  <c r="D50" i="2"/>
  <c r="D51" i="2"/>
  <c r="D55" i="2"/>
  <c r="D56" i="2"/>
  <c r="D58" i="2"/>
  <c r="X25" i="2" l="1"/>
  <c r="W25" i="2"/>
  <c r="V25" i="2"/>
  <c r="U25" i="2"/>
  <c r="T25" i="2"/>
  <c r="S25" i="2"/>
  <c r="R25" i="2"/>
  <c r="P25" i="2"/>
  <c r="O25" i="2"/>
  <c r="N25" i="2"/>
  <c r="M25" i="2"/>
  <c r="M62" i="2"/>
  <c r="M61" i="2"/>
  <c r="M60" i="2"/>
  <c r="M59" i="2"/>
  <c r="M57" i="2"/>
  <c r="M49" i="2"/>
  <c r="M48" i="2"/>
  <c r="M47" i="2"/>
  <c r="L62" i="2"/>
  <c r="L61" i="2"/>
  <c r="L60" i="2"/>
  <c r="L59" i="2"/>
  <c r="L57" i="2"/>
  <c r="L49" i="2"/>
  <c r="L48" i="2"/>
  <c r="L47" i="2"/>
  <c r="K62" i="2"/>
  <c r="K61" i="2"/>
  <c r="K60" i="2"/>
  <c r="K59" i="2"/>
  <c r="K57" i="2"/>
  <c r="K49" i="2"/>
  <c r="K48" i="2"/>
  <c r="K47" i="2"/>
  <c r="J62" i="2"/>
  <c r="J61" i="2"/>
  <c r="J60" i="2"/>
  <c r="J59" i="2"/>
  <c r="J57" i="2"/>
  <c r="J49" i="2"/>
  <c r="J48" i="2"/>
  <c r="J47" i="2"/>
  <c r="I62" i="2"/>
  <c r="I61" i="2"/>
  <c r="I60" i="2"/>
  <c r="I59" i="2"/>
  <c r="I57" i="2"/>
  <c r="I49" i="2"/>
  <c r="I48" i="2"/>
  <c r="I47" i="2"/>
  <c r="H62" i="2"/>
  <c r="H61" i="2"/>
  <c r="H60" i="2"/>
  <c r="H59" i="2"/>
  <c r="H57" i="2"/>
  <c r="H49" i="2"/>
  <c r="H48" i="2"/>
  <c r="H47" i="2"/>
  <c r="G59" i="2"/>
  <c r="G47" i="2"/>
  <c r="F62" i="2"/>
  <c r="F61" i="2"/>
  <c r="F60" i="2"/>
  <c r="F59" i="2"/>
  <c r="F57" i="2"/>
  <c r="F49" i="2"/>
  <c r="F48" i="2"/>
  <c r="F47" i="2"/>
  <c r="E62" i="2"/>
  <c r="E61" i="2"/>
  <c r="E60" i="2"/>
  <c r="E59" i="2"/>
  <c r="E49" i="2"/>
  <c r="E48" i="2"/>
  <c r="E47" i="2"/>
  <c r="C62" i="2"/>
  <c r="C61" i="2"/>
  <c r="C60" i="2"/>
  <c r="C59" i="2"/>
  <c r="C57" i="2"/>
  <c r="C49" i="2"/>
  <c r="C48" i="2"/>
  <c r="C47" i="2"/>
  <c r="B62" i="2"/>
  <c r="B61" i="2"/>
  <c r="B60" i="2"/>
  <c r="B59" i="2"/>
  <c r="D59" i="2" s="1"/>
  <c r="B57" i="2"/>
  <c r="D57" i="2" s="1"/>
  <c r="B49" i="2"/>
  <c r="D49" i="2" s="1"/>
  <c r="B48" i="2"/>
  <c r="D48" i="2" s="1"/>
  <c r="B47" i="2"/>
  <c r="D62" i="2" l="1"/>
  <c r="D47" i="2"/>
  <c r="D61" i="2"/>
  <c r="D60" i="2"/>
  <c r="I24" i="2" l="1"/>
  <c r="AB20" i="1"/>
  <c r="O20" i="1"/>
  <c r="AB19" i="1"/>
  <c r="O19" i="1"/>
  <c r="D19" i="1"/>
  <c r="AB18" i="1"/>
  <c r="O18" i="1"/>
  <c r="D18" i="1"/>
  <c r="AB17" i="1"/>
  <c r="O17" i="1"/>
  <c r="L17" i="1"/>
  <c r="D17" i="1"/>
  <c r="AB16" i="1"/>
  <c r="O16" i="1"/>
  <c r="L16" i="1"/>
  <c r="D16" i="1"/>
  <c r="AB15" i="1"/>
  <c r="O15" i="1"/>
  <c r="D15" i="1"/>
  <c r="AB14" i="1"/>
  <c r="O14" i="1"/>
  <c r="L14" i="1"/>
  <c r="D14" i="1"/>
  <c r="AB13" i="1"/>
  <c r="O13" i="1"/>
  <c r="L13" i="1"/>
  <c r="K13" i="1"/>
  <c r="D13" i="1"/>
  <c r="AK12" i="1"/>
  <c r="AJ12" i="1"/>
  <c r="AI12" i="1"/>
  <c r="AH12" i="1"/>
  <c r="AG12" i="1"/>
  <c r="AF12" i="1"/>
  <c r="AE12" i="1"/>
  <c r="AD12" i="1"/>
  <c r="AC12" i="1"/>
  <c r="AA12" i="1"/>
  <c r="Z12" i="1"/>
  <c r="AB12" i="1" s="1"/>
  <c r="O12" i="1"/>
  <c r="L12" i="1"/>
  <c r="K12" i="1"/>
  <c r="D12" i="1"/>
  <c r="AK7" i="1"/>
  <c r="AJ7" i="1"/>
  <c r="AI7" i="1"/>
  <c r="AH7" i="1"/>
  <c r="AG7" i="1"/>
  <c r="AF7" i="1"/>
  <c r="AE7" i="1"/>
  <c r="AD7" i="1"/>
  <c r="AC7" i="1"/>
  <c r="AA7" i="1"/>
  <c r="Z7" i="1"/>
  <c r="O7" i="1"/>
  <c r="L7" i="1"/>
  <c r="K7" i="1"/>
  <c r="AK6" i="1"/>
  <c r="AJ6" i="1"/>
  <c r="AI6" i="1"/>
  <c r="AH6" i="1"/>
  <c r="AG6" i="1"/>
  <c r="AF6" i="1"/>
  <c r="AE6" i="1"/>
  <c r="AD6" i="1"/>
  <c r="AC6" i="1"/>
  <c r="AA6" i="1"/>
  <c r="Z6" i="1"/>
  <c r="O6" i="1"/>
  <c r="L6" i="1"/>
  <c r="K6" i="1"/>
  <c r="D6" i="1"/>
  <c r="AK5" i="1"/>
  <c r="AJ5" i="1"/>
  <c r="AI5" i="1"/>
  <c r="AH5" i="1"/>
  <c r="AG5" i="1"/>
  <c r="AF5" i="1"/>
  <c r="AE5" i="1"/>
  <c r="AD5" i="1"/>
  <c r="AC5" i="1"/>
  <c r="AA5" i="1"/>
  <c r="Z5" i="1"/>
  <c r="O5" i="1"/>
  <c r="L5" i="1"/>
  <c r="K5" i="1"/>
  <c r="AK4" i="1"/>
  <c r="AJ4" i="1"/>
  <c r="AI4" i="1"/>
  <c r="AH4" i="1"/>
  <c r="AG4" i="1"/>
  <c r="AF4" i="1"/>
  <c r="AE4" i="1"/>
  <c r="AD4" i="1"/>
  <c r="AC4" i="1"/>
  <c r="AA4" i="1"/>
  <c r="Z4" i="1"/>
  <c r="O4" i="1"/>
  <c r="L4" i="1"/>
  <c r="K4" i="1"/>
  <c r="D4" i="1"/>
  <c r="AK3" i="1"/>
  <c r="AJ3" i="1"/>
  <c r="AI3" i="1"/>
  <c r="AH3" i="1"/>
  <c r="AG3" i="1"/>
  <c r="AF3" i="1"/>
  <c r="AE3" i="1"/>
  <c r="AD3" i="1"/>
  <c r="AC3" i="1"/>
  <c r="AA3" i="1"/>
  <c r="Z3" i="1"/>
  <c r="O3" i="1"/>
  <c r="L3" i="1"/>
  <c r="K3" i="1"/>
  <c r="D3" i="1"/>
  <c r="AB6" i="1" l="1"/>
  <c r="AB7" i="1"/>
  <c r="AB3" i="1"/>
  <c r="AB5" i="1"/>
  <c r="AB4" i="1"/>
  <c r="D25" i="2" l="1"/>
  <c r="D26" i="2"/>
  <c r="D27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B25" i="2"/>
  <c r="C25" i="2"/>
  <c r="E25" i="2"/>
  <c r="F25" i="2"/>
  <c r="G25" i="2"/>
  <c r="H25" i="2"/>
  <c r="I25" i="2"/>
  <c r="J25" i="2"/>
  <c r="K25" i="2"/>
  <c r="Y25" i="2"/>
  <c r="Z25" i="2"/>
  <c r="AA25" i="2"/>
  <c r="AB25" i="2"/>
  <c r="AC25" i="2"/>
  <c r="AD25" i="2"/>
  <c r="AE25" i="2"/>
  <c r="AF25" i="2"/>
  <c r="AH25" i="2"/>
  <c r="AI25" i="2"/>
  <c r="AL25" i="2"/>
  <c r="AN25" i="2"/>
  <c r="AP25" i="2"/>
  <c r="AQ25" i="2"/>
  <c r="AR25" i="2"/>
  <c r="AS25" i="2"/>
  <c r="AU25" i="2"/>
  <c r="AV25" i="2"/>
  <c r="AW25" i="2"/>
  <c r="AY25" i="2"/>
  <c r="B26" i="2"/>
  <c r="C26" i="2"/>
  <c r="E26" i="2"/>
  <c r="F26" i="2"/>
  <c r="G26" i="2"/>
  <c r="H26" i="2"/>
  <c r="I26" i="2"/>
  <c r="J26" i="2"/>
  <c r="K26" i="2"/>
  <c r="M26" i="2"/>
  <c r="N26" i="2"/>
  <c r="O26" i="2"/>
  <c r="P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H26" i="2"/>
  <c r="AI26" i="2"/>
  <c r="AL26" i="2"/>
  <c r="AN26" i="2"/>
  <c r="AP26" i="2"/>
  <c r="AQ26" i="2"/>
  <c r="AR26" i="2"/>
  <c r="AS26" i="2"/>
  <c r="AU26" i="2"/>
  <c r="AV26" i="2"/>
  <c r="AW26" i="2"/>
  <c r="AY26" i="2"/>
  <c r="B27" i="2"/>
  <c r="C27" i="2"/>
  <c r="E27" i="2"/>
  <c r="F27" i="2"/>
  <c r="G27" i="2"/>
  <c r="H27" i="2"/>
  <c r="I27" i="2"/>
  <c r="J27" i="2"/>
  <c r="K27" i="2"/>
  <c r="M27" i="2"/>
  <c r="N27" i="2"/>
  <c r="O27" i="2"/>
  <c r="P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H27" i="2"/>
  <c r="AI27" i="2"/>
  <c r="AL27" i="2"/>
  <c r="AN27" i="2"/>
  <c r="AP27" i="2"/>
  <c r="AQ27" i="2"/>
  <c r="AR27" i="2"/>
  <c r="AS27" i="2"/>
  <c r="AU27" i="2"/>
  <c r="AV27" i="2"/>
  <c r="AW27" i="2"/>
  <c r="AY27" i="2"/>
  <c r="B28" i="2"/>
  <c r="C28" i="2"/>
  <c r="E28" i="2"/>
  <c r="F28" i="2"/>
  <c r="G28" i="2"/>
  <c r="H28" i="2"/>
  <c r="I28" i="2"/>
  <c r="J28" i="2"/>
  <c r="K28" i="2"/>
  <c r="M28" i="2"/>
  <c r="N28" i="2"/>
  <c r="O28" i="2"/>
  <c r="P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H28" i="2"/>
  <c r="AI28" i="2"/>
  <c r="AL28" i="2"/>
  <c r="AN28" i="2"/>
  <c r="AP28" i="2"/>
  <c r="AQ28" i="2"/>
  <c r="AR28" i="2"/>
  <c r="AS28" i="2"/>
  <c r="AU28" i="2"/>
  <c r="AV28" i="2"/>
  <c r="AW28" i="2"/>
  <c r="AY28" i="2"/>
  <c r="B29" i="2"/>
  <c r="C29" i="2"/>
  <c r="E29" i="2"/>
  <c r="F29" i="2"/>
  <c r="G29" i="2"/>
  <c r="H29" i="2"/>
  <c r="I29" i="2"/>
  <c r="J29" i="2"/>
  <c r="K29" i="2"/>
  <c r="M29" i="2"/>
  <c r="N29" i="2"/>
  <c r="O29" i="2"/>
  <c r="P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H29" i="2"/>
  <c r="AI29" i="2"/>
  <c r="AL29" i="2"/>
  <c r="AN29" i="2"/>
  <c r="AP29" i="2"/>
  <c r="AQ29" i="2"/>
  <c r="AR29" i="2"/>
  <c r="AS29" i="2"/>
  <c r="AU29" i="2"/>
  <c r="AV29" i="2"/>
  <c r="AW29" i="2"/>
  <c r="AY29" i="2"/>
  <c r="B30" i="2"/>
  <c r="C30" i="2"/>
  <c r="E30" i="2"/>
  <c r="F30" i="2"/>
  <c r="G30" i="2"/>
  <c r="H30" i="2"/>
  <c r="I30" i="2"/>
  <c r="J30" i="2"/>
  <c r="K30" i="2"/>
  <c r="M30" i="2"/>
  <c r="N30" i="2"/>
  <c r="O30" i="2"/>
  <c r="P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H30" i="2"/>
  <c r="AI30" i="2"/>
  <c r="AL30" i="2"/>
  <c r="AN30" i="2"/>
  <c r="AP30" i="2"/>
  <c r="AQ30" i="2"/>
  <c r="AR30" i="2"/>
  <c r="AS30" i="2"/>
  <c r="AU30" i="2"/>
  <c r="AV30" i="2"/>
  <c r="AW30" i="2"/>
  <c r="AY30" i="2"/>
  <c r="B31" i="2"/>
  <c r="C31" i="2"/>
  <c r="E31" i="2"/>
  <c r="F31" i="2"/>
  <c r="G31" i="2"/>
  <c r="H31" i="2"/>
  <c r="I31" i="2"/>
  <c r="J31" i="2"/>
  <c r="K31" i="2"/>
  <c r="M31" i="2"/>
  <c r="N31" i="2"/>
  <c r="O31" i="2"/>
  <c r="P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H31" i="2"/>
  <c r="AI31" i="2"/>
  <c r="AL31" i="2"/>
  <c r="AN31" i="2"/>
  <c r="AP31" i="2"/>
  <c r="AQ31" i="2"/>
  <c r="AR31" i="2"/>
  <c r="AS31" i="2"/>
  <c r="AU31" i="2"/>
  <c r="AV31" i="2"/>
  <c r="AW31" i="2"/>
  <c r="AY31" i="2"/>
  <c r="B32" i="2"/>
  <c r="C32" i="2"/>
  <c r="E32" i="2"/>
  <c r="F32" i="2"/>
  <c r="G32" i="2"/>
  <c r="H32" i="2"/>
  <c r="I32" i="2"/>
  <c r="J32" i="2"/>
  <c r="K32" i="2"/>
  <c r="M32" i="2"/>
  <c r="N32" i="2"/>
  <c r="O32" i="2"/>
  <c r="P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H32" i="2"/>
  <c r="AI32" i="2"/>
  <c r="AL32" i="2"/>
  <c r="AN32" i="2"/>
  <c r="AP32" i="2"/>
  <c r="AQ32" i="2"/>
  <c r="AR32" i="2"/>
  <c r="AS32" i="2"/>
  <c r="AU32" i="2"/>
  <c r="AV32" i="2"/>
  <c r="AW32" i="2"/>
  <c r="AY32" i="2"/>
  <c r="B33" i="2"/>
  <c r="C33" i="2"/>
  <c r="E33" i="2"/>
  <c r="F33" i="2"/>
  <c r="G33" i="2"/>
  <c r="H33" i="2"/>
  <c r="I33" i="2"/>
  <c r="J33" i="2"/>
  <c r="K33" i="2"/>
  <c r="M33" i="2"/>
  <c r="N33" i="2"/>
  <c r="O33" i="2"/>
  <c r="P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H33" i="2"/>
  <c r="AI33" i="2"/>
  <c r="AL33" i="2"/>
  <c r="AN33" i="2"/>
  <c r="AP33" i="2"/>
  <c r="AQ33" i="2"/>
  <c r="AR33" i="2"/>
  <c r="AS33" i="2"/>
  <c r="AU33" i="2"/>
  <c r="AV33" i="2"/>
  <c r="AW33" i="2"/>
  <c r="AY33" i="2"/>
  <c r="B34" i="2"/>
  <c r="C34" i="2"/>
  <c r="E34" i="2"/>
  <c r="F34" i="2"/>
  <c r="G34" i="2"/>
  <c r="H34" i="2"/>
  <c r="I34" i="2"/>
  <c r="J34" i="2"/>
  <c r="K34" i="2"/>
  <c r="M34" i="2"/>
  <c r="N34" i="2"/>
  <c r="O34" i="2"/>
  <c r="P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H34" i="2"/>
  <c r="AI34" i="2"/>
  <c r="AL34" i="2"/>
  <c r="AN34" i="2"/>
  <c r="AP34" i="2"/>
  <c r="AQ34" i="2"/>
  <c r="AR34" i="2"/>
  <c r="AS34" i="2"/>
  <c r="AU34" i="2"/>
  <c r="AV34" i="2"/>
  <c r="AW34" i="2"/>
  <c r="AY34" i="2"/>
  <c r="B35" i="2"/>
  <c r="C35" i="2"/>
  <c r="E35" i="2"/>
  <c r="F35" i="2"/>
  <c r="G35" i="2"/>
  <c r="H35" i="2"/>
  <c r="I35" i="2"/>
  <c r="J35" i="2"/>
  <c r="K35" i="2"/>
  <c r="M35" i="2"/>
  <c r="N35" i="2"/>
  <c r="O35" i="2"/>
  <c r="P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H35" i="2"/>
  <c r="AI35" i="2"/>
  <c r="AL35" i="2"/>
  <c r="AN35" i="2"/>
  <c r="AP35" i="2"/>
  <c r="AQ35" i="2"/>
  <c r="AR35" i="2"/>
  <c r="AS35" i="2"/>
  <c r="AU35" i="2"/>
  <c r="AV35" i="2"/>
  <c r="AW35" i="2"/>
  <c r="AY35" i="2"/>
  <c r="B36" i="2"/>
  <c r="C36" i="2"/>
  <c r="E36" i="2"/>
  <c r="F36" i="2"/>
  <c r="G36" i="2"/>
  <c r="H36" i="2"/>
  <c r="I36" i="2"/>
  <c r="J36" i="2"/>
  <c r="K36" i="2"/>
  <c r="M36" i="2"/>
  <c r="N36" i="2"/>
  <c r="O36" i="2"/>
  <c r="P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H36" i="2"/>
  <c r="AI36" i="2"/>
  <c r="AL36" i="2"/>
  <c r="AN36" i="2"/>
  <c r="AP36" i="2"/>
  <c r="AQ36" i="2"/>
  <c r="AR36" i="2"/>
  <c r="AS36" i="2"/>
  <c r="AU36" i="2"/>
  <c r="AV36" i="2"/>
  <c r="AW36" i="2"/>
  <c r="AY36" i="2"/>
  <c r="B37" i="2"/>
  <c r="C37" i="2"/>
  <c r="E37" i="2"/>
  <c r="F37" i="2"/>
  <c r="G37" i="2"/>
  <c r="H37" i="2"/>
  <c r="I37" i="2"/>
  <c r="J37" i="2"/>
  <c r="K37" i="2"/>
  <c r="M37" i="2"/>
  <c r="N37" i="2"/>
  <c r="O37" i="2"/>
  <c r="P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H37" i="2"/>
  <c r="AI37" i="2"/>
  <c r="AL37" i="2"/>
  <c r="AN37" i="2"/>
  <c r="AP37" i="2"/>
  <c r="AQ37" i="2"/>
  <c r="AR37" i="2"/>
  <c r="AS37" i="2"/>
  <c r="AU37" i="2"/>
  <c r="AV37" i="2"/>
  <c r="AW37" i="2"/>
  <c r="AY37" i="2"/>
  <c r="B38" i="2"/>
  <c r="C38" i="2"/>
  <c r="E38" i="2"/>
  <c r="F38" i="2"/>
  <c r="G38" i="2"/>
  <c r="H38" i="2"/>
  <c r="I38" i="2"/>
  <c r="J38" i="2"/>
  <c r="K38" i="2"/>
  <c r="M38" i="2"/>
  <c r="N38" i="2"/>
  <c r="O38" i="2"/>
  <c r="P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H38" i="2"/>
  <c r="AI38" i="2"/>
  <c r="AL38" i="2"/>
  <c r="AN38" i="2"/>
  <c r="AP38" i="2"/>
  <c r="AQ38" i="2"/>
  <c r="AR38" i="2"/>
  <c r="AS38" i="2"/>
  <c r="AU38" i="2"/>
  <c r="AV38" i="2"/>
  <c r="AW38" i="2"/>
  <c r="AY38" i="2"/>
  <c r="B39" i="2"/>
  <c r="C39" i="2"/>
  <c r="E39" i="2"/>
  <c r="F39" i="2"/>
  <c r="G39" i="2"/>
  <c r="H39" i="2"/>
  <c r="I39" i="2"/>
  <c r="J39" i="2"/>
  <c r="K39" i="2"/>
  <c r="M39" i="2"/>
  <c r="N39" i="2"/>
  <c r="O39" i="2"/>
  <c r="P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H39" i="2"/>
  <c r="AI39" i="2"/>
  <c r="AL39" i="2"/>
  <c r="AN39" i="2"/>
  <c r="AP39" i="2"/>
  <c r="AQ39" i="2"/>
  <c r="AR39" i="2"/>
  <c r="AS39" i="2"/>
  <c r="AU39" i="2"/>
  <c r="AV39" i="2"/>
  <c r="AW39" i="2"/>
  <c r="AY39" i="2"/>
  <c r="B40" i="2"/>
  <c r="C40" i="2"/>
  <c r="E40" i="2"/>
  <c r="F40" i="2"/>
  <c r="G40" i="2"/>
  <c r="H40" i="2"/>
  <c r="I40" i="2"/>
  <c r="J40" i="2"/>
  <c r="K40" i="2"/>
  <c r="M40" i="2"/>
  <c r="N40" i="2"/>
  <c r="O40" i="2"/>
  <c r="P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H40" i="2"/>
  <c r="AI40" i="2"/>
  <c r="AL40" i="2"/>
  <c r="AN40" i="2"/>
  <c r="AP40" i="2"/>
  <c r="AQ40" i="2"/>
  <c r="AR40" i="2"/>
  <c r="AS40" i="2"/>
  <c r="AU40" i="2"/>
  <c r="AV40" i="2"/>
  <c r="AW40" i="2"/>
  <c r="AY40" i="2"/>
  <c r="B41" i="2"/>
  <c r="C41" i="2"/>
  <c r="E41" i="2"/>
  <c r="F41" i="2"/>
  <c r="G41" i="2"/>
  <c r="H41" i="2"/>
  <c r="I41" i="2"/>
  <c r="J41" i="2"/>
  <c r="K41" i="2"/>
  <c r="M41" i="2"/>
  <c r="N41" i="2"/>
  <c r="O41" i="2"/>
  <c r="P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H41" i="2"/>
  <c r="AI41" i="2"/>
  <c r="AL41" i="2"/>
  <c r="AN41" i="2"/>
  <c r="AP41" i="2"/>
  <c r="AQ41" i="2"/>
  <c r="AR41" i="2"/>
  <c r="AS41" i="2"/>
  <c r="AU41" i="2"/>
  <c r="AV41" i="2"/>
  <c r="AW41" i="2"/>
  <c r="AY41" i="2"/>
  <c r="B42" i="2"/>
  <c r="C42" i="2"/>
  <c r="E42" i="2"/>
  <c r="F42" i="2"/>
  <c r="G42" i="2"/>
  <c r="H42" i="2"/>
  <c r="I42" i="2"/>
  <c r="J42" i="2"/>
  <c r="K42" i="2"/>
  <c r="M42" i="2"/>
  <c r="N42" i="2"/>
  <c r="O42" i="2"/>
  <c r="P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H42" i="2"/>
  <c r="AI42" i="2"/>
  <c r="AL42" i="2"/>
  <c r="AN42" i="2"/>
  <c r="AP42" i="2"/>
  <c r="AQ42" i="2"/>
  <c r="AR42" i="2"/>
  <c r="AS42" i="2"/>
  <c r="AU42" i="2"/>
  <c r="AV42" i="2"/>
  <c r="AW42" i="2"/>
  <c r="AY42" i="2"/>
  <c r="B43" i="2"/>
  <c r="C43" i="2"/>
  <c r="E43" i="2"/>
  <c r="F43" i="2"/>
  <c r="G43" i="2"/>
  <c r="H43" i="2"/>
  <c r="I43" i="2"/>
  <c r="J43" i="2"/>
  <c r="K43" i="2"/>
  <c r="M43" i="2"/>
  <c r="N43" i="2"/>
  <c r="O43" i="2"/>
  <c r="P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H43" i="2"/>
  <c r="AI43" i="2"/>
  <c r="AL43" i="2"/>
  <c r="AN43" i="2"/>
  <c r="AP43" i="2"/>
  <c r="AQ43" i="2"/>
  <c r="AR43" i="2"/>
  <c r="AS43" i="2"/>
  <c r="AU43" i="2"/>
  <c r="AV43" i="2"/>
  <c r="AW43" i="2"/>
  <c r="AY43" i="2"/>
  <c r="F24" i="2"/>
  <c r="E24" i="2"/>
  <c r="AR24" i="2"/>
  <c r="AW24" i="2"/>
  <c r="AV24" i="2"/>
  <c r="AU24" i="2"/>
  <c r="AS24" i="2"/>
  <c r="AQ24" i="2"/>
  <c r="AP24" i="2"/>
  <c r="AN24" i="2"/>
  <c r="Y24" i="2"/>
  <c r="AY24" i="2"/>
  <c r="AI24" i="2"/>
  <c r="AH24" i="2"/>
  <c r="AF24" i="2"/>
  <c r="AE24" i="2"/>
  <c r="AD24" i="2"/>
  <c r="AC24" i="2"/>
  <c r="AB24" i="2"/>
  <c r="AA24" i="2"/>
  <c r="Z24" i="2"/>
  <c r="P24" i="2"/>
  <c r="X24" i="2"/>
  <c r="W24" i="2"/>
  <c r="V24" i="2"/>
  <c r="U24" i="2"/>
  <c r="T24" i="2"/>
  <c r="S24" i="2"/>
  <c r="R24" i="2"/>
  <c r="O24" i="2"/>
  <c r="N24" i="2"/>
  <c r="M24" i="2"/>
  <c r="H24" i="2"/>
  <c r="G24" i="2"/>
</calcChain>
</file>

<file path=xl/sharedStrings.xml><?xml version="1.0" encoding="utf-8"?>
<sst xmlns="http://schemas.openxmlformats.org/spreadsheetml/2006/main" count="3438" uniqueCount="936">
  <si>
    <t>黃玉米</t>
  </si>
  <si>
    <t>大麥</t>
  </si>
  <si>
    <t>米糠</t>
  </si>
  <si>
    <t>麩皮</t>
  </si>
  <si>
    <t>粉頭</t>
  </si>
  <si>
    <t>大豆油</t>
  </si>
  <si>
    <t>豬油</t>
  </si>
  <si>
    <t>牛油</t>
  </si>
  <si>
    <t>棕櫚油</t>
  </si>
  <si>
    <t>大豆粕</t>
  </si>
  <si>
    <t>去殼大豆粕</t>
  </si>
  <si>
    <t>全脂豆粉</t>
  </si>
  <si>
    <t>玉米蛋白</t>
  </si>
  <si>
    <t>肉骨粉</t>
  </si>
  <si>
    <t>羽毛粉</t>
  </si>
  <si>
    <t>魚粉65%</t>
  </si>
  <si>
    <t>糖蜜</t>
  </si>
  <si>
    <t>亞麻油酸</t>
  </si>
  <si>
    <t>組胺酸</t>
  </si>
  <si>
    <t>蘇胺酸</t>
  </si>
  <si>
    <t>精胺酸</t>
  </si>
  <si>
    <t>異白胺酸</t>
  </si>
  <si>
    <t>白胺酸</t>
  </si>
  <si>
    <t>苯丙胺酸</t>
  </si>
  <si>
    <t>纈草胺酸</t>
  </si>
  <si>
    <t>氯</t>
  </si>
  <si>
    <t>鎂</t>
  </si>
  <si>
    <t>鈉</t>
  </si>
  <si>
    <t>鉀</t>
  </si>
  <si>
    <t>硫</t>
  </si>
  <si>
    <t>鐵</t>
  </si>
  <si>
    <t>錳</t>
  </si>
  <si>
    <t>銅</t>
  </si>
  <si>
    <t>鋅</t>
  </si>
  <si>
    <t>硒</t>
  </si>
  <si>
    <t>碘</t>
  </si>
  <si>
    <t>鈷</t>
  </si>
  <si>
    <t>Vit D</t>
  </si>
  <si>
    <t>Vit K</t>
  </si>
  <si>
    <t>Vit B1</t>
  </si>
  <si>
    <t>Vit B2</t>
  </si>
  <si>
    <t>Vit B3</t>
  </si>
  <si>
    <t>Vit B5</t>
  </si>
  <si>
    <t>Vit B6</t>
  </si>
  <si>
    <t>Vit B7</t>
  </si>
  <si>
    <t>Vit B9</t>
  </si>
  <si>
    <t>Vit C</t>
  </si>
  <si>
    <t>Calcium</t>
  </si>
  <si>
    <t>Ash</t>
  </si>
  <si>
    <t>Methionine</t>
  </si>
  <si>
    <t>Cysteine</t>
  </si>
  <si>
    <t>Lysine</t>
  </si>
  <si>
    <t>Tryptophan</t>
  </si>
  <si>
    <t>Threonine</t>
  </si>
  <si>
    <t>Isoleucine</t>
  </si>
  <si>
    <t>Histidine</t>
  </si>
  <si>
    <t>Valine</t>
  </si>
  <si>
    <t>Leucine</t>
  </si>
  <si>
    <t>Arginine</t>
  </si>
  <si>
    <t>Carotene</t>
  </si>
  <si>
    <t>Thiamin</t>
  </si>
  <si>
    <t>Biotin</t>
  </si>
  <si>
    <t>Choline</t>
  </si>
  <si>
    <t>Niacin</t>
  </si>
  <si>
    <t>Sodium</t>
  </si>
  <si>
    <t>Potassium</t>
  </si>
  <si>
    <t>Chloride</t>
  </si>
  <si>
    <t>Magnesium</t>
  </si>
  <si>
    <t>Sulphur</t>
  </si>
  <si>
    <t>Manganese</t>
  </si>
  <si>
    <t>Iron</t>
  </si>
  <si>
    <t>Copper</t>
  </si>
  <si>
    <t>Zinc</t>
  </si>
  <si>
    <t>Selenium</t>
  </si>
  <si>
    <t>—</t>
  </si>
  <si>
    <t>%</t>
  </si>
  <si>
    <t>Kcal/lb.</t>
  </si>
  <si>
    <t>Kcal/kg</t>
  </si>
  <si>
    <t>mg/kg</t>
  </si>
  <si>
    <t>IU/g</t>
  </si>
  <si>
    <t>ug/kg</t>
  </si>
  <si>
    <t>ppm</t>
  </si>
  <si>
    <t>Dry Matter</t>
  </si>
  <si>
    <t>Total  phosphorus</t>
  </si>
  <si>
    <t>Available phosphorus</t>
  </si>
  <si>
    <t>Ruminant TDN</t>
  </si>
  <si>
    <t>Ruminant digestible protein</t>
  </si>
  <si>
    <t>Poultry ME</t>
  </si>
  <si>
    <t>Swine ME</t>
  </si>
  <si>
    <t>Phenylalanine</t>
  </si>
  <si>
    <t>Vitamin A</t>
  </si>
  <si>
    <t>Vitamin E</t>
  </si>
  <si>
    <t>Riboflavin</t>
  </si>
  <si>
    <t>Pantothenic acid</t>
  </si>
  <si>
    <t>Folic acid</t>
  </si>
  <si>
    <t>Vitamin B12</t>
  </si>
  <si>
    <t>Ether Extract</t>
  </si>
  <si>
    <t>Crude fiber</t>
  </si>
  <si>
    <t>Crude protein</t>
  </si>
  <si>
    <t>魚粉65%(祕魯)</t>
  </si>
  <si>
    <t>糖蜜(甘蔗無烘乾)</t>
  </si>
  <si>
    <t>DDGS(不去油)</t>
  </si>
  <si>
    <t>牛油(黃油)</t>
  </si>
  <si>
    <t>大豆油(植物油)</t>
  </si>
  <si>
    <t>豬油(動物油)</t>
  </si>
  <si>
    <t>n/a</t>
  </si>
  <si>
    <t>0.18(91)</t>
  </si>
  <si>
    <t>0.18(79)</t>
  </si>
  <si>
    <t>0.17(78)</t>
  </si>
  <si>
    <t>0.18(85)</t>
  </si>
  <si>
    <t>0.25(81)</t>
  </si>
  <si>
    <t>0.1(68)</t>
  </si>
  <si>
    <t>0.24(81)</t>
  </si>
  <si>
    <t>0.53(78)</t>
  </si>
  <si>
    <t>0.5(75)</t>
  </si>
  <si>
    <t>0.07(90)</t>
  </si>
  <si>
    <t>0.29(84)</t>
  </si>
  <si>
    <t>0.36(77)</t>
  </si>
  <si>
    <t>0.4(70)</t>
  </si>
  <si>
    <t>0.29(88)</t>
  </si>
  <si>
    <t>0.42(82)</t>
  </si>
  <si>
    <t>0.39(77)</t>
  </si>
  <si>
    <t>0.25(94)</t>
  </si>
  <si>
    <t>0.23(87)</t>
  </si>
  <si>
    <t>0.25(88)</t>
  </si>
  <si>
    <t>0.42(88)</t>
  </si>
  <si>
    <t>0.62(81)</t>
  </si>
  <si>
    <t>0.6(77)</t>
  </si>
  <si>
    <t>1(93)</t>
  </si>
  <si>
    <t>0.8(86)</t>
  </si>
  <si>
    <t>1.2(76)</t>
  </si>
  <si>
    <t>0.4(89)</t>
  </si>
  <si>
    <t>0.5(85)</t>
  </si>
  <si>
    <t>0.45(87)</t>
  </si>
  <si>
    <t>0.42(91)</t>
  </si>
  <si>
    <t>0.62(88)</t>
  </si>
  <si>
    <t>0.41(77)</t>
  </si>
  <si>
    <t>0.7(92)</t>
  </si>
  <si>
    <t>0.51(84)</t>
  </si>
  <si>
    <t>1.9(97)</t>
  </si>
  <si>
    <t>0.67(85)</t>
  </si>
  <si>
    <t>0.65(76)</t>
  </si>
  <si>
    <t>0.71(82)</t>
  </si>
  <si>
    <t>0.5(74)</t>
  </si>
  <si>
    <t>1.1(86)</t>
  </si>
  <si>
    <t>0.33(58)</t>
  </si>
  <si>
    <t>4(59)</t>
  </si>
  <si>
    <t>3.02(91)</t>
  </si>
  <si>
    <t>0.8(70)</t>
  </si>
  <si>
    <t>1(88)</t>
  </si>
  <si>
    <t>2.6(79)</t>
  </si>
  <si>
    <t>2.05(66)</t>
  </si>
  <si>
    <t>0.2(76)</t>
  </si>
  <si>
    <t>2(88)</t>
  </si>
  <si>
    <t>0.92(72)</t>
  </si>
  <si>
    <t>2(92)</t>
  </si>
  <si>
    <t>1.7(79)</t>
  </si>
  <si>
    <t>3.8(73)</t>
  </si>
  <si>
    <t>2.6(93)</t>
  </si>
  <si>
    <t>1(84)</t>
  </si>
  <si>
    <t>2.3(95)</t>
  </si>
  <si>
    <t>1.7(83)</t>
  </si>
  <si>
    <t>3.66(85)</t>
  </si>
  <si>
    <t>1.3(88)</t>
  </si>
  <si>
    <t>0.65(80)</t>
  </si>
  <si>
    <t>1.2(94)</t>
  </si>
  <si>
    <t>0.96(80)</t>
  </si>
  <si>
    <t>0.78(72)</t>
  </si>
  <si>
    <t>2.7(91)</t>
  </si>
  <si>
    <t>1.33(81)</t>
  </si>
  <si>
    <t>2.7(95)</t>
  </si>
  <si>
    <t>2.25(82)</t>
  </si>
  <si>
    <t>5.75(82)</t>
  </si>
  <si>
    <t>3.8(92)</t>
  </si>
  <si>
    <t>2.8(89)</t>
  </si>
  <si>
    <t>9.4(98)</t>
  </si>
  <si>
    <t>3.2(84)</t>
  </si>
  <si>
    <t>7.8(82)</t>
  </si>
  <si>
    <t>3.6(92)</t>
  </si>
  <si>
    <t>1.1(73)</t>
  </si>
  <si>
    <t>1.9(96)</t>
  </si>
  <si>
    <t>3.35(85)</t>
  </si>
  <si>
    <t>5.75(83)</t>
  </si>
  <si>
    <t>2.7(92)</t>
  </si>
  <si>
    <t>1.2(88)</t>
  </si>
  <si>
    <t>3.8(97)</t>
  </si>
  <si>
    <t>1.7(84)</t>
  </si>
  <si>
    <t>3.54(85)</t>
  </si>
  <si>
    <t>INGREDIENTS</t>
  </si>
  <si>
    <t>作業格式</t>
  </si>
  <si>
    <t>原檔格式</t>
  </si>
  <si>
    <t>DDGS 6~9% oil</t>
  </si>
  <si>
    <t>2019 Ross 308 as-hatched broilers</t>
    <phoneticPr fontId="1" type="noConversion"/>
  </si>
  <si>
    <t>live weight 1.70 - 2.40 kg</t>
    <phoneticPr fontId="1" type="noConversion"/>
  </si>
  <si>
    <t>Starter</t>
    <phoneticPr fontId="1" type="noConversion"/>
  </si>
  <si>
    <t>Age Fed</t>
    <phoneticPr fontId="1" type="noConversion"/>
  </si>
  <si>
    <t>days</t>
    <phoneticPr fontId="1" type="noConversion"/>
  </si>
  <si>
    <t>0 - 10</t>
    <phoneticPr fontId="1" type="noConversion"/>
  </si>
  <si>
    <t>Energy</t>
    <phoneticPr fontId="1" type="noConversion"/>
  </si>
  <si>
    <t>kcal</t>
    <phoneticPr fontId="1" type="noConversion"/>
  </si>
  <si>
    <t>MJ</t>
    <phoneticPr fontId="1" type="noConversion"/>
  </si>
  <si>
    <t>Amino Acids</t>
    <phoneticPr fontId="1" type="noConversion"/>
  </si>
  <si>
    <t>Total</t>
    <phoneticPr fontId="1" type="noConversion"/>
  </si>
  <si>
    <t>Digest</t>
    <phoneticPr fontId="1" type="noConversion"/>
  </si>
  <si>
    <t>Lysine</t>
    <phoneticPr fontId="1" type="noConversion"/>
  </si>
  <si>
    <t>%</t>
    <phoneticPr fontId="1" type="noConversion"/>
  </si>
  <si>
    <t>Methionine+Cystine</t>
    <phoneticPr fontId="1" type="noConversion"/>
  </si>
  <si>
    <t>Methionine</t>
    <phoneticPr fontId="1" type="noConversion"/>
  </si>
  <si>
    <t>Threonine</t>
    <phoneticPr fontId="1" type="noConversion"/>
  </si>
  <si>
    <t>Valine</t>
    <phoneticPr fontId="1" type="noConversion"/>
  </si>
  <si>
    <t>Isoleucine</t>
    <phoneticPr fontId="1" type="noConversion"/>
  </si>
  <si>
    <t>Arginine</t>
    <phoneticPr fontId="1" type="noConversion"/>
  </si>
  <si>
    <t>Tryptophan</t>
    <phoneticPr fontId="1" type="noConversion"/>
  </si>
  <si>
    <t>Leucine</t>
    <phoneticPr fontId="1" type="noConversion"/>
  </si>
  <si>
    <t>Crude Protein</t>
    <phoneticPr fontId="1" type="noConversion"/>
  </si>
  <si>
    <t>%</t>
    <phoneticPr fontId="1" type="noConversion"/>
  </si>
  <si>
    <t>Minerals</t>
    <phoneticPr fontId="1" type="noConversion"/>
  </si>
  <si>
    <t>Calcium</t>
    <phoneticPr fontId="1" type="noConversion"/>
  </si>
  <si>
    <t>Available Phosphorus</t>
    <phoneticPr fontId="1" type="noConversion"/>
  </si>
  <si>
    <t>Magnesium</t>
    <phoneticPr fontId="1" type="noConversion"/>
  </si>
  <si>
    <t>0.05 - 0.50</t>
    <phoneticPr fontId="1" type="noConversion"/>
  </si>
  <si>
    <t>Sodium</t>
    <phoneticPr fontId="1" type="noConversion"/>
  </si>
  <si>
    <t>0.16 - 0.23</t>
    <phoneticPr fontId="1" type="noConversion"/>
  </si>
  <si>
    <t>Chloride</t>
    <phoneticPr fontId="1" type="noConversion"/>
  </si>
  <si>
    <t>Potassium</t>
    <phoneticPr fontId="1" type="noConversion"/>
  </si>
  <si>
    <t>0.40 - 1.00</t>
    <phoneticPr fontId="1" type="noConversion"/>
  </si>
  <si>
    <t>Added Trace Minerals Per Kg</t>
    <phoneticPr fontId="1" type="noConversion"/>
  </si>
  <si>
    <t>Copper</t>
    <phoneticPr fontId="1" type="noConversion"/>
  </si>
  <si>
    <t>mg</t>
    <phoneticPr fontId="1" type="noConversion"/>
  </si>
  <si>
    <t>Iodine</t>
    <phoneticPr fontId="1" type="noConversion"/>
  </si>
  <si>
    <t>Iron</t>
    <phoneticPr fontId="1" type="noConversion"/>
  </si>
  <si>
    <t>Manganese</t>
    <phoneticPr fontId="1" type="noConversion"/>
  </si>
  <si>
    <t>Selenium</t>
    <phoneticPr fontId="1" type="noConversion"/>
  </si>
  <si>
    <t>Zinc</t>
    <phoneticPr fontId="1" type="noConversion"/>
  </si>
  <si>
    <t>Added Vitamins Per Kg</t>
    <phoneticPr fontId="1" type="noConversion"/>
  </si>
  <si>
    <t xml:space="preserve">Wheat based </t>
    <phoneticPr fontId="1" type="noConversion"/>
  </si>
  <si>
    <t>Maize based</t>
    <phoneticPr fontId="1" type="noConversion"/>
  </si>
  <si>
    <t>feed</t>
    <phoneticPr fontId="1" type="noConversion"/>
  </si>
  <si>
    <t>Vitamin A</t>
    <phoneticPr fontId="1" type="noConversion"/>
  </si>
  <si>
    <t>IU</t>
    <phoneticPr fontId="1" type="noConversion"/>
  </si>
  <si>
    <t>Vitamin D3</t>
    <phoneticPr fontId="1" type="noConversion"/>
  </si>
  <si>
    <t>Vitamin E</t>
    <phoneticPr fontId="1" type="noConversion"/>
  </si>
  <si>
    <t>Vitamin K(Menadione)</t>
    <phoneticPr fontId="1" type="noConversion"/>
  </si>
  <si>
    <t>mg</t>
    <phoneticPr fontId="1" type="noConversion"/>
  </si>
  <si>
    <t>Thiamin(B1)</t>
    <phoneticPr fontId="1" type="noConversion"/>
  </si>
  <si>
    <t>Riboflavin(B2)</t>
    <phoneticPr fontId="1" type="noConversion"/>
  </si>
  <si>
    <t>Niacin</t>
    <phoneticPr fontId="1" type="noConversion"/>
  </si>
  <si>
    <t>Pantothenic Acid</t>
    <phoneticPr fontId="1" type="noConversion"/>
  </si>
  <si>
    <t>Pyridoxine(B6)</t>
    <phoneticPr fontId="1" type="noConversion"/>
  </si>
  <si>
    <t>Biotin</t>
    <phoneticPr fontId="1" type="noConversion"/>
  </si>
  <si>
    <t>Folic Acid</t>
    <phoneticPr fontId="1" type="noConversion"/>
  </si>
  <si>
    <t>Vitamin B12</t>
    <phoneticPr fontId="1" type="noConversion"/>
  </si>
  <si>
    <t>Minimum Specification</t>
    <phoneticPr fontId="1" type="noConversion"/>
  </si>
  <si>
    <t>Chloine per kg</t>
    <phoneticPr fontId="1" type="noConversion"/>
  </si>
  <si>
    <t>Linoleic Acid</t>
    <phoneticPr fontId="1" type="noConversion"/>
  </si>
  <si>
    <t>2019 AA as hatched broilers</t>
    <phoneticPr fontId="1" type="noConversion"/>
  </si>
  <si>
    <t>2018 Cobb 500 broilers</t>
    <phoneticPr fontId="1" type="noConversion"/>
  </si>
  <si>
    <t>Starter</t>
    <phoneticPr fontId="1" type="noConversion"/>
  </si>
  <si>
    <t>Feeding Amount/bird</t>
    <phoneticPr fontId="1" type="noConversion"/>
  </si>
  <si>
    <t>180 g (0.40 lb)</t>
    <phoneticPr fontId="1" type="noConversion"/>
  </si>
  <si>
    <t>Feeding Period days</t>
    <phoneticPr fontId="1" type="noConversion"/>
  </si>
  <si>
    <t xml:space="preserve">0 - 8 </t>
    <phoneticPr fontId="1" type="noConversion"/>
  </si>
  <si>
    <t>Feed Structure</t>
    <phoneticPr fontId="1" type="noConversion"/>
  </si>
  <si>
    <t>Crumble</t>
    <phoneticPr fontId="1" type="noConversion"/>
  </si>
  <si>
    <t>21 - 22</t>
    <phoneticPr fontId="1" type="noConversion"/>
  </si>
  <si>
    <t>Metabolizable energy(AMEn)</t>
    <phoneticPr fontId="1" type="noConversion"/>
  </si>
  <si>
    <t>MJ/kg</t>
    <phoneticPr fontId="1" type="noConversion"/>
  </si>
  <si>
    <t>Kcal/kg</t>
    <phoneticPr fontId="1" type="noConversion"/>
  </si>
  <si>
    <t>Kcal/lb</t>
    <phoneticPr fontId="1" type="noConversion"/>
  </si>
  <si>
    <t>Digestible Lysine</t>
    <phoneticPr fontId="1" type="noConversion"/>
  </si>
  <si>
    <t>%</t>
    <phoneticPr fontId="1" type="noConversion"/>
  </si>
  <si>
    <t>Digestible Methionine</t>
    <phoneticPr fontId="1" type="noConversion"/>
  </si>
  <si>
    <t>Digestible Met+Cys</t>
    <phoneticPr fontId="1" type="noConversion"/>
  </si>
  <si>
    <t>Digestible Tryptophan</t>
    <phoneticPr fontId="1" type="noConversion"/>
  </si>
  <si>
    <t>Digestible Threonine</t>
    <phoneticPr fontId="1" type="noConversion"/>
  </si>
  <si>
    <t>Digestible Arginine</t>
    <phoneticPr fontId="1" type="noConversion"/>
  </si>
  <si>
    <t>Digestible Valine</t>
    <phoneticPr fontId="1" type="noConversion"/>
  </si>
  <si>
    <t>Digestible Isoleucine</t>
    <phoneticPr fontId="1" type="noConversion"/>
  </si>
  <si>
    <t>Chloride</t>
    <phoneticPr fontId="1" type="noConversion"/>
  </si>
  <si>
    <t>0.16 - 0.30</t>
    <phoneticPr fontId="1" type="noConversion"/>
  </si>
  <si>
    <t>0.60 - 0.95</t>
    <phoneticPr fontId="1" type="noConversion"/>
  </si>
  <si>
    <t>Lineleic Acid</t>
    <phoneticPr fontId="1" type="noConversion"/>
  </si>
  <si>
    <t>Vitamins and Trace elements(per tonne)</t>
    <phoneticPr fontId="1" type="noConversion"/>
  </si>
  <si>
    <t>Viatmin A</t>
    <phoneticPr fontId="1" type="noConversion"/>
  </si>
  <si>
    <t>MIU</t>
    <phoneticPr fontId="1" type="noConversion"/>
  </si>
  <si>
    <t>10 - 13</t>
    <phoneticPr fontId="1" type="noConversion"/>
  </si>
  <si>
    <t>Vitamin E</t>
    <phoneticPr fontId="1" type="noConversion"/>
  </si>
  <si>
    <t>Vitamin K</t>
    <phoneticPr fontId="1" type="noConversion"/>
  </si>
  <si>
    <t>g</t>
    <phoneticPr fontId="1" type="noConversion"/>
  </si>
  <si>
    <t>Vitamin B1(thiamine)</t>
    <phoneticPr fontId="1" type="noConversion"/>
  </si>
  <si>
    <t>Vitamin B2(riboflavin)</t>
    <phoneticPr fontId="1" type="noConversion"/>
  </si>
  <si>
    <t>Vitamin B6(pyridoxine)</t>
    <phoneticPr fontId="1" type="noConversion"/>
  </si>
  <si>
    <t>Vitamin B12</t>
    <phoneticPr fontId="1" type="noConversion"/>
  </si>
  <si>
    <t>Biotin(Maize diets)</t>
    <phoneticPr fontId="1" type="noConversion"/>
  </si>
  <si>
    <t>Biotin(Wheat diets)</t>
    <phoneticPr fontId="1" type="noConversion"/>
  </si>
  <si>
    <t>Choline</t>
    <phoneticPr fontId="1" type="noConversion"/>
  </si>
  <si>
    <t>Folic Acid</t>
    <phoneticPr fontId="1" type="noConversion"/>
  </si>
  <si>
    <t>Nicotinic Acid</t>
    <phoneticPr fontId="1" type="noConversion"/>
  </si>
  <si>
    <t>Pantothenic Acid</t>
    <phoneticPr fontId="1" type="noConversion"/>
  </si>
  <si>
    <t>-</t>
  </si>
  <si>
    <t>Dry matter</t>
    <phoneticPr fontId="1" type="noConversion"/>
  </si>
  <si>
    <t>CP</t>
  </si>
  <si>
    <t>d-P</t>
  </si>
  <si>
    <t>Poul ME</t>
    <phoneticPr fontId="1" type="noConversion"/>
  </si>
  <si>
    <t>Swin ME</t>
    <phoneticPr fontId="1" type="noConversion"/>
  </si>
  <si>
    <t>EE</t>
  </si>
  <si>
    <t>CF</t>
  </si>
  <si>
    <t>Ca</t>
  </si>
  <si>
    <t>TP</t>
  </si>
  <si>
    <t>AP</t>
  </si>
  <si>
    <t>LA</t>
    <phoneticPr fontId="1" type="noConversion"/>
  </si>
  <si>
    <t>Met</t>
  </si>
  <si>
    <t>Cys</t>
    <phoneticPr fontId="1" type="noConversion"/>
  </si>
  <si>
    <t>M+C</t>
    <phoneticPr fontId="1" type="noConversion"/>
  </si>
  <si>
    <t>Lys</t>
  </si>
  <si>
    <t>His</t>
    <phoneticPr fontId="1" type="noConversion"/>
  </si>
  <si>
    <t>Trp</t>
  </si>
  <si>
    <t>Thr</t>
  </si>
  <si>
    <t>Arg</t>
  </si>
  <si>
    <t>Ile</t>
  </si>
  <si>
    <t>Leu</t>
  </si>
  <si>
    <t>Phe</t>
  </si>
  <si>
    <t>Val</t>
    <phoneticPr fontId="1" type="noConversion"/>
  </si>
  <si>
    <t>dMet</t>
  </si>
  <si>
    <t>dCys</t>
    <phoneticPr fontId="1" type="noConversion"/>
  </si>
  <si>
    <t>dM+dC</t>
    <phoneticPr fontId="1" type="noConversion"/>
  </si>
  <si>
    <t>dLys</t>
  </si>
  <si>
    <t>dHis</t>
    <phoneticPr fontId="1" type="noConversion"/>
  </si>
  <si>
    <t>dTrp</t>
    <phoneticPr fontId="1" type="noConversion"/>
  </si>
  <si>
    <t>dThr</t>
  </si>
  <si>
    <t>dArg</t>
    <phoneticPr fontId="1" type="noConversion"/>
  </si>
  <si>
    <t>dIle</t>
    <phoneticPr fontId="1" type="noConversion"/>
  </si>
  <si>
    <t>dLeu</t>
    <phoneticPr fontId="1" type="noConversion"/>
  </si>
  <si>
    <t>dPhe</t>
    <phoneticPr fontId="1" type="noConversion"/>
  </si>
  <si>
    <t>dVal</t>
    <phoneticPr fontId="1" type="noConversion"/>
  </si>
  <si>
    <t>Cl</t>
    <phoneticPr fontId="1" type="noConversion"/>
  </si>
  <si>
    <t>Mg</t>
    <phoneticPr fontId="1" type="noConversion"/>
  </si>
  <si>
    <t>Na</t>
    <phoneticPr fontId="1" type="noConversion"/>
  </si>
  <si>
    <t>K</t>
    <phoneticPr fontId="1" type="noConversion"/>
  </si>
  <si>
    <t>S</t>
    <phoneticPr fontId="1" type="noConversion"/>
  </si>
  <si>
    <t>Fe</t>
    <phoneticPr fontId="1" type="noConversion"/>
  </si>
  <si>
    <t>Mn</t>
    <phoneticPr fontId="1" type="noConversion"/>
  </si>
  <si>
    <t>Cu</t>
    <phoneticPr fontId="1" type="noConversion"/>
  </si>
  <si>
    <t>Zn</t>
    <phoneticPr fontId="1" type="noConversion"/>
  </si>
  <si>
    <t>Se</t>
    <phoneticPr fontId="1" type="noConversion"/>
  </si>
  <si>
    <t>I</t>
    <phoneticPr fontId="1" type="noConversion"/>
  </si>
  <si>
    <t>Co</t>
    <phoneticPr fontId="1" type="noConversion"/>
  </si>
  <si>
    <t>β-Carotene</t>
  </si>
  <si>
    <t>Vit D</t>
    <phoneticPr fontId="1" type="noConversion"/>
  </si>
  <si>
    <t>Vit E</t>
    <phoneticPr fontId="1" type="noConversion"/>
  </si>
  <si>
    <t>Vit K</t>
    <phoneticPr fontId="1" type="noConversion"/>
  </si>
  <si>
    <r>
      <t>Vit B</t>
    </r>
    <r>
      <rPr>
        <vertAlign val="subscript"/>
        <sz val="12"/>
        <color theme="1"/>
        <rFont val="Times New Roman"/>
        <family val="1"/>
      </rPr>
      <t>1</t>
    </r>
  </si>
  <si>
    <r>
      <t>Vit B</t>
    </r>
    <r>
      <rPr>
        <vertAlign val="subscript"/>
        <sz val="12"/>
        <color theme="1"/>
        <rFont val="Times New Roman"/>
        <family val="1"/>
      </rPr>
      <t>2</t>
    </r>
  </si>
  <si>
    <r>
      <t>Vit B</t>
    </r>
    <r>
      <rPr>
        <vertAlign val="subscript"/>
        <sz val="12"/>
        <color theme="1"/>
        <rFont val="Times New Roman"/>
        <family val="1"/>
      </rPr>
      <t>3</t>
    </r>
  </si>
  <si>
    <r>
      <t>Vit B</t>
    </r>
    <r>
      <rPr>
        <vertAlign val="subscript"/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 xml:space="preserve"> </t>
    </r>
  </si>
  <si>
    <r>
      <t>Vit B</t>
    </r>
    <r>
      <rPr>
        <vertAlign val="subscript"/>
        <sz val="12"/>
        <color theme="1"/>
        <rFont val="Times New Roman"/>
        <family val="1"/>
      </rPr>
      <t>6</t>
    </r>
  </si>
  <si>
    <r>
      <t>Vit B</t>
    </r>
    <r>
      <rPr>
        <vertAlign val="subscript"/>
        <sz val="12"/>
        <color theme="1"/>
        <rFont val="Times New Roman"/>
        <family val="1"/>
      </rPr>
      <t>7</t>
    </r>
  </si>
  <si>
    <r>
      <t>Vit B</t>
    </r>
    <r>
      <rPr>
        <vertAlign val="subscript"/>
        <sz val="12"/>
        <color theme="1"/>
        <rFont val="Times New Roman"/>
        <family val="1"/>
      </rPr>
      <t>9</t>
    </r>
  </si>
  <si>
    <r>
      <t>Vit B</t>
    </r>
    <r>
      <rPr>
        <vertAlign val="subscript"/>
        <sz val="12"/>
        <color theme="1"/>
        <rFont val="Times New Roman"/>
        <family val="1"/>
      </rPr>
      <t>12</t>
    </r>
  </si>
  <si>
    <t>Vit C</t>
    <phoneticPr fontId="1" type="noConversion"/>
  </si>
  <si>
    <t>Choline</t>
    <phoneticPr fontId="1" type="noConversion"/>
  </si>
  <si>
    <t>總磷</t>
  </si>
  <si>
    <t>可利用磷</t>
  </si>
  <si>
    <t>可消化蛋白</t>
  </si>
  <si>
    <t>粗蛋白</t>
  </si>
  <si>
    <t>乾物質</t>
  </si>
  <si>
    <t>Vit A</t>
  </si>
  <si>
    <t>a</t>
  </si>
  <si>
    <t>糖蜜(甘蔗)</t>
  </si>
  <si>
    <t>食鹽</t>
  </si>
  <si>
    <t>DL-Met</t>
  </si>
  <si>
    <t>L-Lys</t>
  </si>
  <si>
    <t>使用量</t>
  </si>
  <si>
    <t>AP</t>
    <phoneticPr fontId="2" type="noConversion"/>
  </si>
  <si>
    <t>Choline</t>
    <phoneticPr fontId="2" type="noConversion"/>
  </si>
  <si>
    <t>需要量</t>
  </si>
  <si>
    <t>計算值</t>
  </si>
  <si>
    <t>d. %</t>
  </si>
  <si>
    <t>M+Cysteine</t>
  </si>
  <si>
    <t>ME</t>
  </si>
  <si>
    <t>Choline 50% (43% available)</t>
  </si>
  <si>
    <t>價格</t>
  </si>
  <si>
    <t>元/kg</t>
  </si>
  <si>
    <t>M+C</t>
  </si>
  <si>
    <t>代碼</t>
  </si>
  <si>
    <t>Mineral</t>
  </si>
  <si>
    <t>Vitamin</t>
  </si>
  <si>
    <t>消化率</t>
  </si>
  <si>
    <t>d.大豆粕</t>
  </si>
  <si>
    <t>d.全脂豆粉</t>
  </si>
  <si>
    <t>L-Thr</t>
  </si>
  <si>
    <r>
      <rPr>
        <sz val="12"/>
        <color theme="1"/>
        <rFont val="標楷體"/>
        <family val="4"/>
        <charset val="136"/>
      </rPr>
      <t>使用量</t>
    </r>
  </si>
  <si>
    <r>
      <rPr>
        <sz val="12"/>
        <color theme="1"/>
        <rFont val="標楷體"/>
        <family val="4"/>
        <charset val="136"/>
      </rPr>
      <t>價格</t>
    </r>
  </si>
  <si>
    <t>dM+C</t>
  </si>
  <si>
    <r>
      <rPr>
        <sz val="12"/>
        <color theme="1"/>
        <rFont val="標楷體"/>
        <family val="4"/>
        <charset val="136"/>
      </rPr>
      <t>元</t>
    </r>
    <r>
      <rPr>
        <sz val="12"/>
        <color theme="1"/>
        <rFont val="Times New Roman"/>
        <family val="1"/>
      </rPr>
      <t>/kg</t>
    </r>
  </si>
  <si>
    <r>
      <rPr>
        <sz val="12"/>
        <color theme="1"/>
        <rFont val="標楷體"/>
        <family val="4"/>
        <charset val="136"/>
      </rPr>
      <t>黃玉米</t>
    </r>
  </si>
  <si>
    <r>
      <rPr>
        <sz val="12"/>
        <color theme="1"/>
        <rFont val="標楷體"/>
        <family val="4"/>
        <charset val="136"/>
      </rPr>
      <t>全脂豆粉</t>
    </r>
  </si>
  <si>
    <r>
      <rPr>
        <sz val="12"/>
        <color theme="1"/>
        <rFont val="標楷體"/>
        <family val="4"/>
        <charset val="136"/>
      </rPr>
      <t>大豆粕</t>
    </r>
  </si>
  <si>
    <r>
      <rPr>
        <sz val="12"/>
        <color theme="1"/>
        <rFont val="標楷體"/>
        <family val="4"/>
        <charset val="136"/>
      </rPr>
      <t>大豆油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植物油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</si>
  <si>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標楷體"/>
        <family val="4"/>
        <charset val="136"/>
      </rPr>
      <t>魚粉</t>
    </r>
    <r>
      <rPr>
        <sz val="12"/>
        <color theme="1"/>
        <rFont val="Times New Roman"/>
        <family val="1"/>
      </rPr>
      <t>65%(</t>
    </r>
    <r>
      <rPr>
        <sz val="12"/>
        <color theme="1"/>
        <rFont val="標楷體"/>
        <family val="4"/>
        <charset val="136"/>
      </rPr>
      <t>祕魯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</si>
  <si>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標楷體"/>
        <family val="4"/>
        <charset val="136"/>
      </rPr>
      <t>磷酸一鈣</t>
    </r>
  </si>
  <si>
    <r>
      <rPr>
        <sz val="12"/>
        <color theme="1"/>
        <rFont val="標楷體"/>
        <family val="4"/>
        <charset val="136"/>
      </rPr>
      <t>石灰石粉</t>
    </r>
  </si>
  <si>
    <r>
      <rPr>
        <sz val="12"/>
        <color theme="1"/>
        <rFont val="標楷體"/>
        <family val="4"/>
        <charset val="136"/>
      </rPr>
      <t>食鹽</t>
    </r>
  </si>
  <si>
    <r>
      <rPr>
        <sz val="12"/>
        <color theme="1"/>
        <rFont val="標楷體"/>
        <family val="4"/>
        <charset val="136"/>
      </rPr>
      <t>計算值</t>
    </r>
  </si>
  <si>
    <r>
      <rPr>
        <sz val="12"/>
        <color theme="1"/>
        <rFont val="標楷體"/>
        <family val="4"/>
        <charset val="136"/>
      </rPr>
      <t>需要量</t>
    </r>
  </si>
  <si>
    <t>&lt;4</t>
  </si>
  <si>
    <t>&lt;10</t>
  </si>
  <si>
    <t>Casein, dried</t>
  </si>
  <si>
    <r>
      <rPr>
        <sz val="10"/>
        <color rgb="FF231F20"/>
        <rFont val="微軟正黑體"/>
        <family val="2"/>
        <charset val="136"/>
      </rPr>
      <t>—</t>
    </r>
  </si>
  <si>
    <t>酵母，圖拉幹</t>
  </si>
  <si>
    <r>
      <rPr>
        <sz val="10"/>
        <color rgb="FF231F20"/>
        <rFont val="微軟正黑體"/>
        <family val="2"/>
        <charset val="136"/>
      </rPr>
      <t>Yeast, Tourla, dried</t>
    </r>
  </si>
  <si>
    <r>
      <rPr>
        <sz val="10"/>
        <color rgb="FF231F20"/>
        <rFont val="微軟正黑體"/>
        <family val="2"/>
        <charset val="136"/>
      </rPr>
      <t>n/a</t>
    </r>
  </si>
  <si>
    <t>酵母菌</t>
  </si>
  <si>
    <r>
      <rPr>
        <sz val="10"/>
        <color rgb="FF231F20"/>
        <rFont val="微軟正黑體"/>
        <family val="2"/>
        <charset val="136"/>
      </rPr>
      <t>Yeast culture</t>
    </r>
  </si>
  <si>
    <t>幹乳清</t>
  </si>
  <si>
    <r>
      <rPr>
        <sz val="10"/>
        <color rgb="FF231F20"/>
        <rFont val="微軟正黑體"/>
        <family val="2"/>
        <charset val="136"/>
      </rPr>
      <t>Whey, dried</t>
    </r>
  </si>
  <si>
    <t>乳清，低乳糖，幹</t>
  </si>
  <si>
    <r>
      <rPr>
        <sz val="10"/>
        <color rgb="FF231F20"/>
        <rFont val="微軟正黑體"/>
        <family val="2"/>
        <charset val="136"/>
      </rPr>
      <t>Whey, low lactose, dried</t>
    </r>
  </si>
  <si>
    <t>小麥垃圾篩查</t>
  </si>
  <si>
    <r>
      <rPr>
        <sz val="10"/>
        <color rgb="FF231F20"/>
        <rFont val="微軟正黑體"/>
        <family val="2"/>
        <charset val="136"/>
      </rPr>
      <t>Wheat refuse screenings</t>
    </r>
  </si>
  <si>
    <t>小麥籽粒篩查，＃2</t>
  </si>
  <si>
    <r>
      <rPr>
        <sz val="10"/>
        <color rgb="FF231F20"/>
        <rFont val="微軟正黑體"/>
        <family val="2"/>
        <charset val="136"/>
      </rPr>
      <t>Wheat grain screenings, #2</t>
    </r>
  </si>
  <si>
    <t>小麥籽粒篩查，＃1</t>
  </si>
  <si>
    <r>
      <rPr>
        <sz val="10"/>
        <color rgb="FF231F20"/>
        <rFont val="微軟正黑體"/>
        <family val="2"/>
        <charset val="136"/>
      </rPr>
      <t>Wheat grain screenings, #1</t>
    </r>
  </si>
  <si>
    <t>小麥中</t>
  </si>
  <si>
    <r>
      <rPr>
        <sz val="10"/>
        <color rgb="FF231F20"/>
        <rFont val="微軟正黑體"/>
        <family val="2"/>
        <charset val="136"/>
      </rPr>
      <t>Wheat middlings</t>
    </r>
  </si>
  <si>
    <t>小麥胚芽粉</t>
  </si>
  <si>
    <r>
      <rPr>
        <sz val="10"/>
        <color rgb="FF231F20"/>
        <rFont val="微軟正黑體"/>
        <family val="2"/>
        <charset val="136"/>
      </rPr>
      <t>Wheat germ meal</t>
    </r>
  </si>
  <si>
    <r>
      <rPr>
        <sz val="10"/>
        <color rgb="FF231F20"/>
        <rFont val="微軟正黑體"/>
        <family val="2"/>
        <charset val="136"/>
      </rPr>
      <t>0.70 (85)</t>
    </r>
  </si>
  <si>
    <r>
      <rPr>
        <sz val="10"/>
        <color rgb="FF231F20"/>
        <rFont val="微軟正黑體"/>
        <family val="2"/>
        <charset val="136"/>
      </rPr>
      <t>0.95 (86)</t>
    </r>
  </si>
  <si>
    <r>
      <rPr>
        <sz val="10"/>
        <color rgb="FF231F20"/>
        <rFont val="微軟正黑體"/>
        <family val="2"/>
        <charset val="136"/>
      </rPr>
      <t>1.0 (84)</t>
    </r>
  </si>
  <si>
    <r>
      <rPr>
        <sz val="10"/>
        <color rgb="FF231F20"/>
        <rFont val="微軟正黑體"/>
        <family val="2"/>
        <charset val="136"/>
      </rPr>
      <t>0.77 (82)</t>
    </r>
  </si>
  <si>
    <r>
      <rPr>
        <sz val="10"/>
        <color rgb="FF231F20"/>
        <rFont val="微軟正黑體"/>
        <family val="2"/>
        <charset val="136"/>
      </rPr>
      <t>0.32 (84)</t>
    </r>
  </si>
  <si>
    <r>
      <rPr>
        <sz val="10"/>
        <color rgb="FF231F20"/>
        <rFont val="微軟正黑體"/>
        <family val="2"/>
        <charset val="136"/>
      </rPr>
      <t>0.7 (82)</t>
    </r>
  </si>
  <si>
    <r>
      <rPr>
        <sz val="10"/>
        <color rgb="FF231F20"/>
        <rFont val="微軟正黑體"/>
        <family val="2"/>
        <charset val="136"/>
      </rPr>
      <t>0.5 (79)</t>
    </r>
  </si>
  <si>
    <r>
      <rPr>
        <sz val="10"/>
        <color rgb="FF231F20"/>
        <rFont val="微軟正黑體"/>
        <family val="2"/>
        <charset val="136"/>
      </rPr>
      <t>0.78 (81)</t>
    </r>
  </si>
  <si>
    <r>
      <rPr>
        <sz val="10"/>
        <color rgb="FF231F20"/>
        <rFont val="微軟正黑體"/>
        <family val="2"/>
        <charset val="136"/>
      </rPr>
      <t>0.25 (69)</t>
    </r>
  </si>
  <si>
    <r>
      <rPr>
        <sz val="10"/>
        <color rgb="FF231F20"/>
        <rFont val="微軟正黑體"/>
        <family val="2"/>
        <charset val="136"/>
      </rPr>
      <t>0.18 (80)</t>
    </r>
  </si>
  <si>
    <t>小麥短褲</t>
  </si>
  <si>
    <r>
      <rPr>
        <sz val="10"/>
        <color rgb="FF231F20"/>
        <rFont val="微軟正黑體"/>
        <family val="2"/>
        <charset val="136"/>
      </rPr>
      <t>Wheat shorts</t>
    </r>
  </si>
  <si>
    <t>麥麩</t>
  </si>
  <si>
    <r>
      <rPr>
        <sz val="10"/>
        <color rgb="FF231F20"/>
        <rFont val="微軟正黑體"/>
        <family val="2"/>
        <charset val="136"/>
      </rPr>
      <t>Wheat bran</t>
    </r>
  </si>
  <si>
    <r>
      <rPr>
        <sz val="10"/>
        <color rgb="FF231F20"/>
        <rFont val="微軟正黑體"/>
        <family val="2"/>
        <charset val="136"/>
      </rPr>
      <t>0.49 (92)</t>
    </r>
  </si>
  <si>
    <r>
      <rPr>
        <sz val="10"/>
        <color rgb="FF231F20"/>
        <rFont val="微軟正黑體"/>
        <family val="2"/>
        <charset val="136"/>
      </rPr>
      <t>0.4 (88)</t>
    </r>
  </si>
  <si>
    <r>
      <rPr>
        <sz val="10"/>
        <color rgb="FF231F20"/>
        <rFont val="微軟正黑體"/>
        <family val="2"/>
        <charset val="136"/>
      </rPr>
      <t>0.6 (91)</t>
    </r>
  </si>
  <si>
    <r>
      <rPr>
        <sz val="10"/>
        <color rgb="FF231F20"/>
        <rFont val="微軟正黑體"/>
        <family val="2"/>
        <charset val="136"/>
      </rPr>
      <t>0.48 (86)</t>
    </r>
  </si>
  <si>
    <r>
      <rPr>
        <sz val="10"/>
        <color rgb="FF231F20"/>
        <rFont val="微軟正黑體"/>
        <family val="2"/>
        <charset val="136"/>
      </rPr>
      <t>0.2 (91)</t>
    </r>
  </si>
  <si>
    <r>
      <rPr>
        <sz val="10"/>
        <color rgb="FF231F20"/>
        <rFont val="微軟正黑體"/>
        <family val="2"/>
        <charset val="136"/>
      </rPr>
      <t>0.43 (88)</t>
    </r>
  </si>
  <si>
    <r>
      <rPr>
        <sz val="10"/>
        <color rgb="FF231F20"/>
        <rFont val="微軟正黑體"/>
        <family val="2"/>
        <charset val="136"/>
      </rPr>
      <t>0.28 (83)</t>
    </r>
  </si>
  <si>
    <r>
      <rPr>
        <sz val="10"/>
        <color rgb="FF231F20"/>
        <rFont val="微軟正黑體"/>
        <family val="2"/>
        <charset val="136"/>
      </rPr>
      <t>0.3 (81)</t>
    </r>
  </si>
  <si>
    <r>
      <rPr>
        <sz val="10"/>
        <color rgb="FF231F20"/>
        <rFont val="微軟正黑體"/>
        <family val="2"/>
        <charset val="136"/>
      </rPr>
      <t>0.2 (87)</t>
    </r>
  </si>
  <si>
    <r>
      <rPr>
        <sz val="10"/>
        <color rgb="FF231F20"/>
        <rFont val="微軟正黑體"/>
        <family val="2"/>
        <charset val="136"/>
      </rPr>
      <t>0.14 (87)</t>
    </r>
  </si>
  <si>
    <t>小麥，柔軟，穀物</t>
  </si>
  <si>
    <r>
      <rPr>
        <sz val="10"/>
        <color rgb="FF231F20"/>
        <rFont val="微軟正黑體"/>
        <family val="2"/>
        <charset val="136"/>
      </rPr>
      <t>Wheat, soft, grain</t>
    </r>
  </si>
  <si>
    <r>
      <rPr>
        <sz val="10"/>
        <color rgb="FF231F20"/>
        <rFont val="微軟正黑體"/>
        <family val="2"/>
        <charset val="136"/>
      </rPr>
      <t>0.78 (92)</t>
    </r>
  </si>
  <si>
    <r>
      <rPr>
        <sz val="10"/>
        <color rgb="FF231F20"/>
        <rFont val="微軟正黑體"/>
        <family val="2"/>
        <charset val="136"/>
      </rPr>
      <t>0.6 (88)</t>
    </r>
  </si>
  <si>
    <r>
      <rPr>
        <sz val="10"/>
        <color rgb="FF231F20"/>
        <rFont val="微軟正黑體"/>
        <family val="2"/>
        <charset val="136"/>
      </rPr>
      <t>1.0 (91)</t>
    </r>
  </si>
  <si>
    <r>
      <rPr>
        <sz val="10"/>
        <color rgb="FF231F20"/>
        <rFont val="微軟正黑體"/>
        <family val="2"/>
        <charset val="136"/>
      </rPr>
      <t>0.69 (86)</t>
    </r>
  </si>
  <si>
    <r>
      <rPr>
        <sz val="10"/>
        <color rgb="FF231F20"/>
        <rFont val="微軟正黑體"/>
        <family val="2"/>
        <charset val="136"/>
      </rPr>
      <t>0.17 (91)</t>
    </r>
  </si>
  <si>
    <r>
      <rPr>
        <sz val="10"/>
        <color rgb="FF231F20"/>
        <rFont val="微軟正黑體"/>
        <family val="2"/>
        <charset val="136"/>
      </rPr>
      <t>0.69 (88)</t>
    </r>
  </si>
  <si>
    <r>
      <rPr>
        <sz val="10"/>
        <color rgb="FF231F20"/>
        <rFont val="微軟正黑體"/>
        <family val="2"/>
        <charset val="136"/>
      </rPr>
      <t>0.35 (83)</t>
    </r>
  </si>
  <si>
    <r>
      <rPr>
        <sz val="10"/>
        <color rgb="FF231F20"/>
        <rFont val="微軟正黑體"/>
        <family val="2"/>
        <charset val="136"/>
      </rPr>
      <t>0.4 (81)</t>
    </r>
  </si>
  <si>
    <r>
      <rPr>
        <sz val="10"/>
        <color rgb="FF231F20"/>
        <rFont val="微軟正黑體"/>
        <family val="2"/>
        <charset val="136"/>
      </rPr>
      <t>0.3 (87)</t>
    </r>
  </si>
  <si>
    <r>
      <rPr>
        <sz val="10"/>
        <color rgb="FF231F20"/>
        <rFont val="微軟正黑體"/>
        <family val="2"/>
        <charset val="136"/>
      </rPr>
      <t>0.25 (87)</t>
    </r>
  </si>
  <si>
    <t>小麥，硬質穀物</t>
  </si>
  <si>
    <r>
      <rPr>
        <sz val="10"/>
        <color rgb="FF231F20"/>
        <rFont val="微軟正黑體"/>
        <family val="2"/>
        <charset val="136"/>
      </rPr>
      <t>Wheat, hard, grain</t>
    </r>
  </si>
  <si>
    <t>小黑麥</t>
  </si>
  <si>
    <r>
      <rPr>
        <sz val="10"/>
        <color rgb="FF231F20"/>
        <rFont val="微軟正黑體"/>
        <family val="2"/>
        <charset val="136"/>
      </rPr>
      <t>Triticale</t>
    </r>
  </si>
  <si>
    <t>番茄漿，幹</t>
  </si>
  <si>
    <r>
      <rPr>
        <sz val="10"/>
        <color rgb="FF231F20"/>
        <rFont val="微軟正黑體"/>
        <family val="2"/>
        <charset val="136"/>
      </rPr>
      <t>Tomato pulp, dried</t>
    </r>
  </si>
  <si>
    <r>
      <rPr>
        <sz val="10"/>
        <color rgb="FF231F20"/>
        <rFont val="微軟正黑體"/>
        <family val="2"/>
        <charset val="136"/>
      </rPr>
      <t>1.61 (93)</t>
    </r>
  </si>
  <si>
    <r>
      <rPr>
        <sz val="10"/>
        <color rgb="FF231F20"/>
        <rFont val="微軟正黑體"/>
        <family val="2"/>
        <charset val="136"/>
      </rPr>
      <t>2.8 (83)</t>
    </r>
  </si>
  <si>
    <r>
      <rPr>
        <sz val="10"/>
        <color rgb="FF231F20"/>
        <rFont val="微軟正黑體"/>
        <family val="2"/>
        <charset val="136"/>
      </rPr>
      <t>2.58 (91)</t>
    </r>
  </si>
  <si>
    <r>
      <rPr>
        <sz val="10"/>
        <color rgb="FF231F20"/>
        <rFont val="微軟正黑體"/>
        <family val="2"/>
        <charset val="136"/>
      </rPr>
      <t>1.64 (86)</t>
    </r>
  </si>
  <si>
    <r>
      <rPr>
        <sz val="10"/>
        <color rgb="FF231F20"/>
        <rFont val="微軟正黑體"/>
        <family val="2"/>
        <charset val="136"/>
      </rPr>
      <t>1.51 (87)</t>
    </r>
  </si>
  <si>
    <r>
      <rPr>
        <sz val="10"/>
        <color rgb="FF231F20"/>
        <rFont val="微軟正黑體"/>
        <family val="2"/>
        <charset val="136"/>
      </rPr>
      <t>1.39 (90)</t>
    </r>
  </si>
  <si>
    <r>
      <rPr>
        <sz val="10"/>
        <color rgb="FF231F20"/>
        <rFont val="微軟正黑體"/>
        <family val="2"/>
        <charset val="136"/>
      </rPr>
      <t>1.48 (85)</t>
    </r>
  </si>
  <si>
    <r>
      <rPr>
        <sz val="10"/>
        <color rgb="FF231F20"/>
        <rFont val="微軟正黑體"/>
        <family val="2"/>
        <charset val="136"/>
      </rPr>
      <t>1.42 (84)</t>
    </r>
  </si>
  <si>
    <r>
      <rPr>
        <sz val="10"/>
        <color rgb="FF231F20"/>
        <rFont val="微軟正黑體"/>
        <family val="2"/>
        <charset val="136"/>
      </rPr>
      <t>0.55 (78)</t>
    </r>
  </si>
  <si>
    <r>
      <rPr>
        <sz val="10"/>
        <color rgb="FF231F20"/>
        <rFont val="微軟正黑體"/>
        <family val="2"/>
        <charset val="136"/>
      </rPr>
      <t>0.64 (93)</t>
    </r>
  </si>
  <si>
    <t>葵花粕，部分去殼，溶劑</t>
  </si>
  <si>
    <r>
      <rPr>
        <sz val="10"/>
        <color rgb="FF231F20"/>
        <rFont val="微軟正黑體"/>
        <family val="2"/>
        <charset val="136"/>
      </rPr>
      <t>Sunflower meal, partially dehulled, solvent</t>
    </r>
  </si>
  <si>
    <t>葵花籽粉，溶劑</t>
  </si>
  <si>
    <r>
      <rPr>
        <sz val="10"/>
        <color rgb="FF231F20"/>
        <rFont val="微軟正黑體"/>
        <family val="2"/>
        <charset val="136"/>
      </rPr>
      <t>Sunflower meal, solvent</t>
    </r>
  </si>
  <si>
    <t>向日葵粉，螺旋槳</t>
  </si>
  <si>
    <r>
      <rPr>
        <sz val="10"/>
        <color rgb="FF231F20"/>
        <rFont val="微軟正黑體"/>
        <family val="2"/>
        <charset val="136"/>
      </rPr>
      <t>Sunflower meal, expeller</t>
    </r>
  </si>
  <si>
    <r>
      <rPr>
        <sz val="10"/>
        <color rgb="FF231F20"/>
        <rFont val="微軟正黑體"/>
        <family val="2"/>
        <charset val="136"/>
      </rPr>
      <t>2.7 (92)</t>
    </r>
  </si>
  <si>
    <r>
      <rPr>
        <sz val="10"/>
        <color rgb="FF231F20"/>
        <rFont val="微軟正黑體"/>
        <family val="2"/>
        <charset val="136"/>
      </rPr>
      <t>3.6 (92)</t>
    </r>
  </si>
  <si>
    <r>
      <rPr>
        <sz val="10"/>
        <color rgb="FF231F20"/>
        <rFont val="微軟正黑體"/>
        <family val="2"/>
        <charset val="136"/>
      </rPr>
      <t>3.8 (92)</t>
    </r>
  </si>
  <si>
    <r>
      <rPr>
        <sz val="10"/>
        <color rgb="FF231F20"/>
        <rFont val="微軟正黑體"/>
        <family val="2"/>
        <charset val="136"/>
      </rPr>
      <t>2.7 (91)</t>
    </r>
  </si>
  <si>
    <r>
      <rPr>
        <sz val="10"/>
        <color rgb="FF231F20"/>
        <rFont val="微軟正黑體"/>
        <family val="2"/>
        <charset val="136"/>
      </rPr>
      <t>1.3 (88)</t>
    </r>
  </si>
  <si>
    <r>
      <rPr>
        <sz val="10"/>
        <color rgb="FF231F20"/>
        <rFont val="微軟正黑體"/>
        <family val="2"/>
        <charset val="136"/>
      </rPr>
      <t>2.6 (93)</t>
    </r>
  </si>
  <si>
    <r>
      <rPr>
        <sz val="10"/>
        <color rgb="FF231F20"/>
        <rFont val="微軟正黑體"/>
        <family val="2"/>
        <charset val="136"/>
      </rPr>
      <t>2.0 (88)</t>
    </r>
  </si>
  <si>
    <r>
      <rPr>
        <sz val="10"/>
        <color rgb="FF231F20"/>
        <rFont val="微軟正黑體"/>
        <family val="2"/>
        <charset val="136"/>
      </rPr>
      <t>3.02 (91)</t>
    </r>
  </si>
  <si>
    <r>
      <rPr>
        <sz val="10"/>
        <color rgb="FF231F20"/>
        <rFont val="微軟正黑體"/>
        <family val="2"/>
        <charset val="136"/>
      </rPr>
      <t>0.71 (82)</t>
    </r>
  </si>
  <si>
    <r>
      <rPr>
        <sz val="10"/>
        <color rgb="FF231F20"/>
        <rFont val="微軟正黑體"/>
        <family val="2"/>
        <charset val="136"/>
      </rPr>
      <t>0.70 (92)</t>
    </r>
  </si>
  <si>
    <t>豆粕脫殼，溶劑</t>
  </si>
  <si>
    <r>
      <rPr>
        <sz val="10"/>
        <color rgb="FF231F20"/>
        <rFont val="微軟正黑體"/>
        <family val="2"/>
        <charset val="136"/>
      </rPr>
      <t>Soybean meal dehulled, solvent</t>
    </r>
  </si>
  <si>
    <t>豆粕，溶劑</t>
  </si>
  <si>
    <r>
      <rPr>
        <sz val="10"/>
        <color rgb="FF231F20"/>
        <rFont val="微軟正黑體"/>
        <family val="2"/>
        <charset val="136"/>
      </rPr>
      <t>Soybean meal, solvent</t>
    </r>
  </si>
  <si>
    <t>大豆粉，螺旋槳</t>
  </si>
  <si>
    <t>Soybean meal, expeller</t>
    <phoneticPr fontId="4" type="noConversion"/>
  </si>
  <si>
    <t>全脂大豆熟的9</t>
  </si>
  <si>
    <r>
      <rPr>
        <sz val="10"/>
        <color rgb="FF231F20"/>
        <rFont val="微軟正黑體"/>
        <family val="2"/>
        <charset val="136"/>
      </rPr>
      <t>Soybeans, full-fat, cooked9</t>
    </r>
  </si>
  <si>
    <r>
      <rPr>
        <sz val="10"/>
        <color rgb="FF231F20"/>
        <rFont val="微軟正黑體"/>
        <family val="2"/>
        <charset val="136"/>
      </rPr>
      <t>0.45 (91)</t>
    </r>
  </si>
  <si>
    <r>
      <rPr>
        <sz val="10"/>
        <color rgb="FF231F20"/>
        <rFont val="微軟正黑體"/>
        <family val="2"/>
        <charset val="136"/>
      </rPr>
      <t>0.4 (74)</t>
    </r>
  </si>
  <si>
    <r>
      <rPr>
        <sz val="10"/>
        <color rgb="FF231F20"/>
        <rFont val="微軟正黑體"/>
        <family val="2"/>
        <charset val="136"/>
      </rPr>
      <t>1.4 (94)</t>
    </r>
  </si>
  <si>
    <r>
      <rPr>
        <sz val="10"/>
        <color rgb="FF231F20"/>
        <rFont val="微軟正黑體"/>
        <family val="2"/>
        <charset val="136"/>
      </rPr>
      <t>0.53 (87)</t>
    </r>
  </si>
  <si>
    <r>
      <rPr>
        <sz val="10"/>
        <color rgb="FF231F20"/>
        <rFont val="微軟正黑體"/>
        <family val="2"/>
        <charset val="136"/>
      </rPr>
      <t>0.27 (87)</t>
    </r>
  </si>
  <si>
    <r>
      <rPr>
        <sz val="10"/>
        <color rgb="FF231F20"/>
        <rFont val="微軟正黑體"/>
        <family val="2"/>
        <charset val="136"/>
      </rPr>
      <t>0.27 (82)</t>
    </r>
  </si>
  <si>
    <r>
      <rPr>
        <sz val="10"/>
        <color rgb="FF231F20"/>
        <rFont val="微軟正黑體"/>
        <family val="2"/>
        <charset val="136"/>
      </rPr>
      <t>0.27 (78)</t>
    </r>
  </si>
  <si>
    <r>
      <rPr>
        <sz val="10"/>
        <color rgb="FF231F20"/>
        <rFont val="微軟正黑體"/>
        <family val="2"/>
        <charset val="136"/>
      </rPr>
      <t>0.2 (83)</t>
    </r>
  </si>
  <si>
    <r>
      <rPr>
        <sz val="10"/>
        <color rgb="FF231F20"/>
        <rFont val="微軟正黑體"/>
        <family val="2"/>
        <charset val="136"/>
      </rPr>
      <t>0.1 (89)</t>
    </r>
  </si>
  <si>
    <t>高粱，米洛，穀物</t>
  </si>
  <si>
    <r>
      <rPr>
        <sz val="10"/>
        <color rgb="FF231F20"/>
        <rFont val="微軟正黑體"/>
        <family val="2"/>
        <charset val="136"/>
      </rPr>
      <t>Sorghum, milo, grain</t>
    </r>
  </si>
  <si>
    <t>高粱，麵筋粉</t>
  </si>
  <si>
    <r>
      <rPr>
        <sz val="10"/>
        <color rgb="FF231F20"/>
        <rFont val="微軟正黑體"/>
        <family val="2"/>
        <charset val="136"/>
      </rPr>
      <t>Sorghum, gluten meal</t>
    </r>
  </si>
  <si>
    <t>高粱，麵筋飼料</t>
  </si>
  <si>
    <r>
      <rPr>
        <sz val="10"/>
        <color rgb="FF231F20"/>
        <rFont val="微軟正黑體"/>
        <family val="2"/>
        <charset val="136"/>
      </rPr>
      <t>Sorghum, gluten feed</t>
    </r>
  </si>
  <si>
    <t>脫脂奶粉</t>
  </si>
  <si>
    <r>
      <rPr>
        <sz val="10"/>
        <color rgb="FF231F20"/>
        <rFont val="微軟正黑體"/>
        <family val="2"/>
        <charset val="136"/>
      </rPr>
      <t>Skim milk, dried</t>
    </r>
  </si>
  <si>
    <r>
      <rPr>
        <sz val="10"/>
        <color rgb="FF231F20"/>
        <rFont val="微軟正黑體"/>
        <family val="2"/>
        <charset val="136"/>
      </rPr>
      <t>5.06 (92)</t>
    </r>
  </si>
  <si>
    <r>
      <rPr>
        <sz val="10"/>
        <color rgb="FF231F20"/>
        <rFont val="微軟正黑體"/>
        <family val="2"/>
        <charset val="136"/>
      </rPr>
      <t>3.3 (91)</t>
    </r>
  </si>
  <si>
    <r>
      <rPr>
        <sz val="10"/>
        <color rgb="FF231F20"/>
        <rFont val="微軟正黑體"/>
        <family val="2"/>
        <charset val="136"/>
      </rPr>
      <t>2.53 (91)</t>
    </r>
  </si>
  <si>
    <r>
      <rPr>
        <sz val="10"/>
        <color rgb="FF231F20"/>
        <rFont val="微軟正黑體"/>
        <family val="2"/>
        <charset val="136"/>
      </rPr>
      <t>1.16 (89)</t>
    </r>
  </si>
  <si>
    <r>
      <rPr>
        <sz val="10"/>
        <color rgb="FF231F20"/>
        <rFont val="微軟正黑體"/>
        <family val="2"/>
        <charset val="136"/>
      </rPr>
      <t>2.28 (92)</t>
    </r>
  </si>
  <si>
    <r>
      <rPr>
        <sz val="10"/>
        <color rgb="FF231F20"/>
        <rFont val="微軟正黑體"/>
        <family val="2"/>
        <charset val="136"/>
      </rPr>
      <t>1.71 (87)</t>
    </r>
  </si>
  <si>
    <r>
      <rPr>
        <sz val="10"/>
        <color rgb="FF231F20"/>
        <rFont val="微軟正黑體"/>
        <family val="2"/>
        <charset val="136"/>
      </rPr>
      <t>1.37 (88)</t>
    </r>
  </si>
  <si>
    <r>
      <rPr>
        <sz val="10"/>
        <color rgb="FF231F20"/>
        <rFont val="微軟正黑體"/>
        <family val="2"/>
        <charset val="136"/>
      </rPr>
      <t>0.6 (82)</t>
    </r>
  </si>
  <si>
    <r>
      <rPr>
        <sz val="10"/>
        <color rgb="FF231F20"/>
        <rFont val="微軟正黑體"/>
        <family val="2"/>
        <charset val="136"/>
      </rPr>
      <t>1.48 (94)</t>
    </r>
  </si>
  <si>
    <t>芝麻粉，螺旋槳</t>
  </si>
  <si>
    <r>
      <rPr>
        <sz val="10"/>
        <color rgb="FF231F20"/>
        <rFont val="微軟正黑體"/>
        <family val="2"/>
        <charset val="136"/>
      </rPr>
      <t>Sesame meal, expeller</t>
    </r>
  </si>
  <si>
    <t>紅花籽粉，溶劑</t>
  </si>
  <si>
    <r>
      <rPr>
        <sz val="10"/>
        <color rgb="FF231F20"/>
        <rFont val="微軟正黑體"/>
        <family val="2"/>
        <charset val="136"/>
      </rPr>
      <t>Safflower seed meal, solvent</t>
    </r>
  </si>
  <si>
    <t>紅花籽粉，螺旋槳</t>
  </si>
  <si>
    <r>
      <rPr>
        <sz val="10"/>
        <color rgb="FF231F20"/>
        <rFont val="微軟正黑體"/>
        <family val="2"/>
        <charset val="136"/>
      </rPr>
      <t>Safflower seed meal, expeller</t>
    </r>
  </si>
  <si>
    <t>黑麥，穀物</t>
  </si>
  <si>
    <r>
      <rPr>
        <sz val="10"/>
        <color rgb="FF231F20"/>
        <rFont val="微軟正黑體"/>
        <family val="2"/>
        <charset val="136"/>
      </rPr>
      <t>Rye, grain</t>
    </r>
  </si>
  <si>
    <t>大米，穀物，粗糧</t>
  </si>
  <si>
    <r>
      <rPr>
        <sz val="10"/>
        <color rgb="FF231F20"/>
        <rFont val="微軟正黑體"/>
        <family val="2"/>
        <charset val="136"/>
      </rPr>
      <t>Rice, grain, rough</t>
    </r>
  </si>
  <si>
    <t>稻殼</t>
  </si>
  <si>
    <r>
      <rPr>
        <sz val="10"/>
        <color rgb="FF231F20"/>
        <rFont val="微軟正黑體"/>
        <family val="2"/>
        <charset val="136"/>
      </rPr>
      <t>Rice hulls</t>
    </r>
  </si>
  <si>
    <r>
      <rPr>
        <sz val="10"/>
        <color rgb="FF231F20"/>
        <rFont val="微軟正黑體"/>
        <family val="2"/>
        <charset val="136"/>
      </rPr>
      <t>0.41 (77)</t>
    </r>
  </si>
  <si>
    <r>
      <rPr>
        <sz val="10"/>
        <color rgb="FF231F20"/>
        <rFont val="微軟正黑體"/>
        <family val="2"/>
        <charset val="136"/>
      </rPr>
      <t>0.45 (87)</t>
    </r>
  </si>
  <si>
    <r>
      <rPr>
        <sz val="10"/>
        <color rgb="FF231F20"/>
        <rFont val="微軟正黑體"/>
        <family val="2"/>
        <charset val="136"/>
      </rPr>
      <t>1.2 (76)</t>
    </r>
  </si>
  <si>
    <r>
      <rPr>
        <sz val="10"/>
        <color rgb="FF231F20"/>
        <rFont val="微軟正黑體"/>
        <family val="2"/>
        <charset val="136"/>
      </rPr>
      <t>0.60 (77)</t>
    </r>
  </si>
  <si>
    <r>
      <rPr>
        <sz val="10"/>
        <color rgb="FF231F20"/>
        <rFont val="微軟正黑體"/>
        <family val="2"/>
        <charset val="136"/>
      </rPr>
      <t>0.25 (88)</t>
    </r>
  </si>
  <si>
    <r>
      <rPr>
        <sz val="10"/>
        <color rgb="FF231F20"/>
        <rFont val="微軟正黑體"/>
        <family val="2"/>
        <charset val="136"/>
      </rPr>
      <t>0.39 (77)</t>
    </r>
  </si>
  <si>
    <r>
      <rPr>
        <sz val="10"/>
        <color rgb="FF231F20"/>
        <rFont val="微軟正黑體"/>
        <family val="2"/>
        <charset val="136"/>
      </rPr>
      <t>0.4 (70)</t>
    </r>
  </si>
  <si>
    <r>
      <rPr>
        <sz val="10"/>
        <color rgb="FF231F20"/>
        <rFont val="微軟正黑體"/>
        <family val="2"/>
        <charset val="136"/>
      </rPr>
      <t>0.5 (75)</t>
    </r>
  </si>
  <si>
    <r>
      <rPr>
        <sz val="10"/>
        <color rgb="FF231F20"/>
        <rFont val="微軟正黑體"/>
        <family val="2"/>
        <charset val="136"/>
      </rPr>
      <t>0.1 (68)</t>
    </r>
  </si>
  <si>
    <r>
      <rPr>
        <sz val="10"/>
        <color rgb="FF231F20"/>
        <rFont val="微軟正黑體"/>
        <family val="2"/>
        <charset val="136"/>
      </rPr>
      <t>0.17 (78)</t>
    </r>
  </si>
  <si>
    <t>米糠，未提取</t>
  </si>
  <si>
    <r>
      <rPr>
        <sz val="10"/>
        <color rgb="FF231F20"/>
        <rFont val="微軟正黑體"/>
        <family val="2"/>
        <charset val="136"/>
      </rPr>
      <t>Rice bran, unextracted</t>
    </r>
  </si>
  <si>
    <t>菜籽油粉，溶劑</t>
  </si>
  <si>
    <r>
      <rPr>
        <sz val="10"/>
        <color rgb="FF231F20"/>
        <rFont val="微軟正黑體"/>
        <family val="2"/>
        <charset val="136"/>
      </rPr>
      <t>Rapeseed oil meal, solvent</t>
    </r>
  </si>
  <si>
    <t>禽糞，乾燥的，地板的</t>
  </si>
  <si>
    <r>
      <rPr>
        <sz val="10"/>
        <color rgb="FF231F20"/>
        <rFont val="微軟正黑體"/>
        <family val="2"/>
        <charset val="136"/>
      </rPr>
      <t>Poultry manure, dried, floor</t>
    </r>
  </si>
  <si>
    <t>家禽糞便，乾燥，網箱</t>
  </si>
  <si>
    <r>
      <rPr>
        <sz val="10"/>
        <color rgb="FF231F20"/>
        <rFont val="微軟正黑體"/>
        <family val="2"/>
        <charset val="136"/>
      </rPr>
      <t>Poultry manure, dried, cage</t>
    </r>
  </si>
  <si>
    <r>
      <rPr>
        <sz val="10"/>
        <color rgb="FF231F20"/>
        <rFont val="微軟正黑體"/>
        <family val="2"/>
        <charset val="136"/>
      </rPr>
      <t>1.60 (84)</t>
    </r>
  </si>
  <si>
    <r>
      <rPr>
        <sz val="10"/>
        <color rgb="FF231F20"/>
        <rFont val="微軟正黑體"/>
        <family val="2"/>
        <charset val="136"/>
      </rPr>
      <t>3.50 (88)</t>
    </r>
  </si>
  <si>
    <r>
      <rPr>
        <sz val="10"/>
        <color rgb="FF231F20"/>
        <rFont val="微軟正黑體"/>
        <family val="2"/>
        <charset val="136"/>
      </rPr>
      <t>3.95 (85)</t>
    </r>
  </si>
  <si>
    <r>
      <rPr>
        <sz val="10"/>
        <color rgb="FF231F20"/>
        <rFont val="微軟正黑體"/>
        <family val="2"/>
        <charset val="136"/>
      </rPr>
      <t>2.32 (83)</t>
    </r>
  </si>
  <si>
    <r>
      <rPr>
        <sz val="10"/>
        <color rgb="FF231F20"/>
        <rFont val="微軟正黑體"/>
        <family val="2"/>
        <charset val="136"/>
      </rPr>
      <t>1.42 (78)</t>
    </r>
  </si>
  <si>
    <r>
      <rPr>
        <sz val="10"/>
        <color rgb="FF231F20"/>
        <rFont val="微軟正黑體"/>
        <family val="2"/>
        <charset val="136"/>
      </rPr>
      <t>2.10 (85)</t>
    </r>
  </si>
  <si>
    <r>
      <rPr>
        <sz val="10"/>
        <color rgb="FF231F20"/>
        <rFont val="微軟正黑體"/>
        <family val="2"/>
        <charset val="136"/>
      </rPr>
      <t>1.88 (80)</t>
    </r>
  </si>
  <si>
    <r>
      <rPr>
        <sz val="10"/>
        <color rgb="FF231F20"/>
        <rFont val="微軟正黑體"/>
        <family val="2"/>
        <charset val="136"/>
      </rPr>
      <t>2.25 (80)</t>
    </r>
  </si>
  <si>
    <r>
      <rPr>
        <sz val="10"/>
        <color rgb="FF231F20"/>
        <rFont val="微軟正黑體"/>
        <family val="2"/>
        <charset val="136"/>
      </rPr>
      <t>0.90 (61)</t>
    </r>
  </si>
  <si>
    <r>
      <rPr>
        <sz val="10"/>
        <color rgb="FF231F20"/>
        <rFont val="微軟正黑體"/>
        <family val="2"/>
        <charset val="136"/>
      </rPr>
      <t>0.91 (86)</t>
    </r>
  </si>
  <si>
    <t>家禽副產品粉（飼料級）</t>
  </si>
  <si>
    <r>
      <rPr>
        <sz val="10"/>
        <color rgb="FF231F20"/>
        <rFont val="微軟正黑體"/>
        <family val="2"/>
        <charset val="136"/>
      </rPr>
      <t>Poultry byproduct meal (feed grade)</t>
    </r>
  </si>
  <si>
    <t>花生粉和船殼，機甲。延伸</t>
  </si>
  <si>
    <r>
      <rPr>
        <sz val="10"/>
        <color rgb="FF231F20"/>
        <rFont val="微軟正黑體"/>
        <family val="2"/>
        <charset val="136"/>
      </rPr>
      <t>Peanut meal and hulls, mech. Extd.</t>
    </r>
  </si>
  <si>
    <r>
      <rPr>
        <sz val="10"/>
        <color rgb="FF231F20"/>
        <rFont val="微軟正黑體"/>
        <family val="2"/>
        <charset val="136"/>
      </rPr>
      <t>2.13 (93)</t>
    </r>
  </si>
  <si>
    <r>
      <rPr>
        <sz val="10"/>
        <color rgb="FF231F20"/>
        <rFont val="微軟正黑體"/>
        <family val="2"/>
        <charset val="136"/>
      </rPr>
      <t>4.76 (90)</t>
    </r>
  </si>
  <si>
    <r>
      <rPr>
        <sz val="10"/>
        <color rgb="FF231F20"/>
        <rFont val="微軟正黑體"/>
        <family val="2"/>
        <charset val="136"/>
      </rPr>
      <t>2.80 (90)</t>
    </r>
  </si>
  <si>
    <r>
      <rPr>
        <sz val="10"/>
        <color rgb="FF231F20"/>
        <rFont val="微軟正黑體"/>
        <family val="2"/>
        <charset val="136"/>
      </rPr>
      <t>1.80 (87)</t>
    </r>
  </si>
  <si>
    <r>
      <rPr>
        <sz val="10"/>
        <color rgb="FF231F20"/>
        <rFont val="微軟正黑體"/>
        <family val="2"/>
        <charset val="136"/>
      </rPr>
      <t>1.00 (88)</t>
    </r>
  </si>
  <si>
    <r>
      <rPr>
        <sz val="10"/>
        <color rgb="FF231F20"/>
        <rFont val="微軟正黑體"/>
        <family val="2"/>
        <charset val="136"/>
      </rPr>
      <t>1.50 (88)</t>
    </r>
  </si>
  <si>
    <r>
      <rPr>
        <sz val="10"/>
        <color rgb="FF231F20"/>
        <rFont val="微軟正黑體"/>
        <family val="2"/>
        <charset val="136"/>
      </rPr>
      <t>1.12 (81)</t>
    </r>
  </si>
  <si>
    <r>
      <rPr>
        <sz val="10"/>
        <color rgb="FF231F20"/>
        <rFont val="微軟正黑體"/>
        <family val="2"/>
        <charset val="136"/>
      </rPr>
      <t>0.42 (93)</t>
    </r>
  </si>
  <si>
    <r>
      <rPr>
        <sz val="10"/>
        <color rgb="FF231F20"/>
        <rFont val="微軟正黑體"/>
        <family val="2"/>
        <charset val="136"/>
      </rPr>
      <t>1.52 (85)</t>
    </r>
  </si>
  <si>
    <r>
      <rPr>
        <sz val="10"/>
        <color rgb="FF231F20"/>
        <rFont val="微軟正黑體"/>
        <family val="2"/>
        <charset val="136"/>
      </rPr>
      <t>0.60 (78)</t>
    </r>
  </si>
  <si>
    <r>
      <rPr>
        <sz val="10"/>
        <color rgb="FF231F20"/>
        <rFont val="微軟正黑體"/>
        <family val="2"/>
        <charset val="136"/>
      </rPr>
      <t>0.50 (87)</t>
    </r>
  </si>
  <si>
    <t>花生粉，溶劑</t>
  </si>
  <si>
    <r>
      <rPr>
        <sz val="10"/>
        <color rgb="FF231F20"/>
        <rFont val="微軟正黑體"/>
        <family val="2"/>
        <charset val="136"/>
      </rPr>
      <t>Peanut meal, solvent</t>
    </r>
  </si>
  <si>
    <t>豌豆種子，剔除</t>
  </si>
  <si>
    <r>
      <rPr>
        <sz val="10"/>
        <color rgb="FF231F20"/>
        <rFont val="微軟正黑體"/>
        <family val="2"/>
        <charset val="136"/>
      </rPr>
      <t>Pea seed, cull</t>
    </r>
  </si>
  <si>
    <t>燕麥殼</t>
  </si>
  <si>
    <r>
      <rPr>
        <sz val="10"/>
        <color rgb="FF231F20"/>
        <rFont val="微軟正黑體"/>
        <family val="2"/>
        <charset val="136"/>
      </rPr>
      <t>Oat hulls</t>
    </r>
  </si>
  <si>
    <r>
      <rPr>
        <sz val="10"/>
        <color rgb="FF231F20"/>
        <rFont val="微軟正黑體"/>
        <family val="2"/>
        <charset val="136"/>
      </rPr>
      <t>0.65 (92)</t>
    </r>
  </si>
  <si>
    <r>
      <rPr>
        <sz val="10"/>
        <color rgb="FF231F20"/>
        <rFont val="微軟正黑體"/>
        <family val="2"/>
        <charset val="136"/>
      </rPr>
      <t>0.9 (92)</t>
    </r>
  </si>
  <si>
    <r>
      <rPr>
        <sz val="10"/>
        <color rgb="FF231F20"/>
        <rFont val="微軟正黑體"/>
        <family val="2"/>
        <charset val="136"/>
      </rPr>
      <t>1.0 (88)</t>
    </r>
  </si>
  <si>
    <r>
      <rPr>
        <sz val="10"/>
        <color rgb="FF231F20"/>
        <rFont val="微軟正黑體"/>
        <family val="2"/>
        <charset val="136"/>
      </rPr>
      <t>0.65 (88)</t>
    </r>
  </si>
  <si>
    <r>
      <rPr>
        <sz val="10"/>
        <color rgb="FF231F20"/>
        <rFont val="微軟正黑體"/>
        <family val="2"/>
        <charset val="136"/>
      </rPr>
      <t>0.25 (91)</t>
    </r>
  </si>
  <si>
    <r>
      <rPr>
        <sz val="10"/>
        <color rgb="FF231F20"/>
        <rFont val="微軟正黑體"/>
        <family val="2"/>
        <charset val="136"/>
      </rPr>
      <t>0.5 (88)</t>
    </r>
  </si>
  <si>
    <r>
      <rPr>
        <sz val="10"/>
        <color rgb="FF231F20"/>
        <rFont val="微軟正黑體"/>
        <family val="2"/>
        <charset val="136"/>
      </rPr>
      <t>0.5 (83)</t>
    </r>
  </si>
  <si>
    <r>
      <rPr>
        <sz val="10"/>
        <color rgb="FF231F20"/>
        <rFont val="微軟正黑體"/>
        <family val="2"/>
        <charset val="136"/>
      </rPr>
      <t>0.45 (80)</t>
    </r>
  </si>
  <si>
    <r>
      <rPr>
        <sz val="10"/>
        <color rgb="FF231F20"/>
        <rFont val="微軟正黑體"/>
        <family val="2"/>
        <charset val="136"/>
      </rPr>
      <t>0.26 (84)</t>
    </r>
  </si>
  <si>
    <r>
      <rPr>
        <sz val="10"/>
        <color rgb="FF231F20"/>
        <rFont val="微軟正黑體"/>
        <family val="2"/>
        <charset val="136"/>
      </rPr>
      <t>0.2 (90)</t>
    </r>
  </si>
  <si>
    <t>燕麥，去殼（去皮的燕麥）</t>
  </si>
  <si>
    <r>
      <rPr>
        <sz val="10"/>
        <color rgb="FF231F20"/>
        <rFont val="微軟正黑體"/>
        <family val="2"/>
        <charset val="136"/>
      </rPr>
      <t>Oats, groats (dehulled oats)</t>
    </r>
  </si>
  <si>
    <t>燕麥，穀物，太平洋海岸</t>
  </si>
  <si>
    <r>
      <rPr>
        <sz val="10"/>
        <color rgb="FF231F20"/>
        <rFont val="微軟正黑體"/>
        <family val="2"/>
        <charset val="136"/>
      </rPr>
      <t>Oats, grain, Pacific coast</t>
    </r>
  </si>
  <si>
    <r>
      <rPr>
        <sz val="10"/>
        <color rgb="FF231F20"/>
        <rFont val="微軟正黑體"/>
        <family val="2"/>
        <charset val="136"/>
      </rPr>
      <t>0.62 (94)</t>
    </r>
  </si>
  <si>
    <r>
      <rPr>
        <sz val="10"/>
        <color rgb="FF231F20"/>
        <rFont val="微軟正黑體"/>
        <family val="2"/>
        <charset val="136"/>
      </rPr>
      <t>0.8 (94)</t>
    </r>
  </si>
  <si>
    <r>
      <rPr>
        <sz val="10"/>
        <color rgb="FF231F20"/>
        <rFont val="微軟正黑體"/>
        <family val="2"/>
        <charset val="136"/>
      </rPr>
      <t>0.62 (88)</t>
    </r>
  </si>
  <si>
    <r>
      <rPr>
        <sz val="10"/>
        <color rgb="FF231F20"/>
        <rFont val="微軟正黑體"/>
        <family val="2"/>
        <charset val="136"/>
      </rPr>
      <t>0.18 (93)</t>
    </r>
  </si>
  <si>
    <r>
      <rPr>
        <sz val="10"/>
        <color rgb="FF231F20"/>
        <rFont val="微軟正黑體"/>
        <family val="2"/>
        <charset val="136"/>
      </rPr>
      <t>0.53 (89)</t>
    </r>
  </si>
  <si>
    <r>
      <rPr>
        <sz val="10"/>
        <color rgb="FF231F20"/>
        <rFont val="微軟正黑體"/>
        <family val="2"/>
        <charset val="136"/>
      </rPr>
      <t>0.28 (85)</t>
    </r>
  </si>
  <si>
    <r>
      <rPr>
        <sz val="10"/>
        <color rgb="FF231F20"/>
        <rFont val="微軟正黑體"/>
        <family val="2"/>
        <charset val="136"/>
      </rPr>
      <t>0.4 (87)</t>
    </r>
  </si>
  <si>
    <r>
      <rPr>
        <sz val="10"/>
        <color rgb="FF231F20"/>
        <rFont val="微軟正黑體"/>
        <family val="2"/>
        <charset val="136"/>
      </rPr>
      <t>0.21 (84)</t>
    </r>
  </si>
  <si>
    <r>
      <rPr>
        <sz val="10"/>
        <color rgb="FF231F20"/>
        <rFont val="微軟正黑體"/>
        <family val="2"/>
        <charset val="136"/>
      </rPr>
      <t>0.2 (86)</t>
    </r>
  </si>
  <si>
    <t>燕麥，穀物</t>
  </si>
  <si>
    <r>
      <rPr>
        <sz val="10"/>
        <color rgb="FF231F20"/>
        <rFont val="微軟正黑體"/>
        <family val="2"/>
        <charset val="136"/>
      </rPr>
      <t>Oats, grain</t>
    </r>
  </si>
  <si>
    <t>糖蜜，澱粉，玉米</t>
  </si>
  <si>
    <r>
      <rPr>
        <sz val="10"/>
        <color rgb="FF231F20"/>
        <rFont val="微軟正黑體"/>
        <family val="2"/>
        <charset val="136"/>
      </rPr>
      <t>Molasses, starch, corn</t>
    </r>
  </si>
  <si>
    <t>糖蜜，柑橘</t>
  </si>
  <si>
    <r>
      <rPr>
        <sz val="10"/>
        <color rgb="FF231F20"/>
        <rFont val="微軟正黑體"/>
        <family val="2"/>
        <charset val="136"/>
      </rPr>
      <t>Molasses, citrus</t>
    </r>
  </si>
  <si>
    <t>糖蜜，甘蔗，幹</t>
  </si>
  <si>
    <r>
      <rPr>
        <sz val="10"/>
        <color rgb="FF231F20"/>
        <rFont val="微軟正黑體"/>
        <family val="2"/>
        <charset val="136"/>
      </rPr>
      <t>Molasses, cane, dried</t>
    </r>
  </si>
  <si>
    <t>糖蜜，甘蔗</t>
  </si>
  <si>
    <t>Molasses, cane</t>
    <phoneticPr fontId="4" type="noConversion"/>
  </si>
  <si>
    <t>糖蜜，甜菜</t>
  </si>
  <si>
    <t>Molasses, beet</t>
    <phoneticPr fontId="4" type="noConversion"/>
  </si>
  <si>
    <t>小米，珍珠粒</t>
  </si>
  <si>
    <r>
      <rPr>
        <sz val="10"/>
        <color rgb="FF231F20"/>
        <rFont val="微軟正黑體"/>
        <family val="2"/>
        <charset val="136"/>
      </rPr>
      <t>Millet, Pearl grain</t>
    </r>
  </si>
  <si>
    <t>牛奶，全脂的，幹的，飼料級</t>
  </si>
  <si>
    <r>
      <rPr>
        <sz val="10"/>
        <color rgb="FF231F20"/>
        <rFont val="微軟正黑體"/>
        <family val="2"/>
        <charset val="136"/>
      </rPr>
      <t>Milk, whole, dried, feed grade</t>
    </r>
  </si>
  <si>
    <t>肉粉55％</t>
  </si>
  <si>
    <r>
      <rPr>
        <sz val="10"/>
        <color rgb="FF231F20"/>
        <rFont val="微軟正黑體"/>
        <family val="2"/>
        <charset val="136"/>
      </rPr>
      <t>Meat meal, 55%</t>
    </r>
  </si>
  <si>
    <r>
      <rPr>
        <sz val="10"/>
        <color rgb="FF231F20"/>
        <rFont val="微軟正黑體"/>
        <family val="2"/>
        <charset val="136"/>
      </rPr>
      <t>1.7 (84)</t>
    </r>
  </si>
  <si>
    <r>
      <rPr>
        <sz val="10"/>
        <color rgb="FF231F20"/>
        <rFont val="微軟正黑體"/>
        <family val="2"/>
        <charset val="136"/>
      </rPr>
      <t>3.35 (85)</t>
    </r>
  </si>
  <si>
    <r>
      <rPr>
        <sz val="10"/>
        <color rgb="FF231F20"/>
        <rFont val="微軟正黑體"/>
        <family val="2"/>
        <charset val="136"/>
      </rPr>
      <t>3.2 (84)</t>
    </r>
  </si>
  <si>
    <r>
      <rPr>
        <sz val="10"/>
        <color rgb="FF231F20"/>
        <rFont val="微軟正黑體"/>
        <family val="2"/>
        <charset val="136"/>
      </rPr>
      <t>2.25 (82)</t>
    </r>
  </si>
  <si>
    <r>
      <rPr>
        <sz val="10"/>
        <color rgb="FF231F20"/>
        <rFont val="微軟正黑體"/>
        <family val="2"/>
        <charset val="136"/>
      </rPr>
      <t>0.96 (80)</t>
    </r>
  </si>
  <si>
    <r>
      <rPr>
        <sz val="10"/>
        <color rgb="FF231F20"/>
        <rFont val="微軟正黑體"/>
        <family val="2"/>
        <charset val="136"/>
      </rPr>
      <t>1.7 (83)</t>
    </r>
  </si>
  <si>
    <r>
      <rPr>
        <sz val="10"/>
        <color rgb="FF231F20"/>
        <rFont val="微軟正黑體"/>
        <family val="2"/>
        <charset val="136"/>
      </rPr>
      <t>1.7 (79)</t>
    </r>
  </si>
  <si>
    <r>
      <rPr>
        <sz val="10"/>
        <color rgb="FF231F20"/>
        <rFont val="微軟正黑體"/>
        <family val="2"/>
        <charset val="136"/>
      </rPr>
      <t>2.6 (79)</t>
    </r>
  </si>
  <si>
    <r>
      <rPr>
        <sz val="10"/>
        <color rgb="FF231F20"/>
        <rFont val="微軟正黑體"/>
        <family val="2"/>
        <charset val="136"/>
      </rPr>
      <t>0.33 (58)</t>
    </r>
  </si>
  <si>
    <r>
      <rPr>
        <sz val="10"/>
        <color rgb="FF231F20"/>
        <rFont val="微軟正黑體"/>
        <family val="2"/>
        <charset val="136"/>
      </rPr>
      <t>0.67 (85)</t>
    </r>
  </si>
  <si>
    <t>肉骨粉50％</t>
  </si>
  <si>
    <r>
      <rPr>
        <sz val="10"/>
        <color rgb="FF231F20"/>
        <rFont val="微軟正黑體"/>
        <family val="2"/>
        <charset val="136"/>
      </rPr>
      <t>Meat and bone meal, 50%</t>
    </r>
  </si>
  <si>
    <t>肉骨粉45％</t>
  </si>
  <si>
    <r>
      <rPr>
        <sz val="10"/>
        <color rgb="FF231F20"/>
        <rFont val="微軟正黑體"/>
        <family val="2"/>
        <charset val="136"/>
      </rPr>
      <t>Meat and bone meal, 45%</t>
    </r>
  </si>
  <si>
    <t>麥芽，大麥幹</t>
  </si>
  <si>
    <r>
      <rPr>
        <sz val="10"/>
        <color rgb="FF231F20"/>
        <rFont val="微軟正黑體"/>
        <family val="2"/>
        <charset val="136"/>
      </rPr>
      <t>Malt sprouts, barley dried</t>
    </r>
  </si>
  <si>
    <t>0.5-1.0</t>
  </si>
  <si>
    <t>亞麻籽亞麻（溶劑）</t>
  </si>
  <si>
    <t>Linseed meal flax (solvent)</t>
  </si>
  <si>
    <t>亞麻籽粕亞麻（膨化機）</t>
  </si>
  <si>
    <t>Linseed meal flax (expeller)</t>
  </si>
  <si>
    <t>海帶粉，黛希</t>
  </si>
  <si>
    <r>
      <rPr>
        <sz val="10"/>
        <color rgb="FF231F20"/>
        <rFont val="微軟正黑體"/>
        <family val="2"/>
        <charset val="136"/>
      </rPr>
      <t>Kelp meal, dehy</t>
    </r>
  </si>
  <si>
    <t>卡菲爾穀物高粱</t>
  </si>
  <si>
    <r>
      <rPr>
        <sz val="10"/>
        <color rgb="FF231F20"/>
        <rFont val="微軟正黑體"/>
        <family val="2"/>
        <charset val="136"/>
      </rPr>
      <t>Kafir grain sorghum</t>
    </r>
  </si>
  <si>
    <t>玉米螺桿壓榨的人用飼料</t>
  </si>
  <si>
    <r>
      <rPr>
        <sz val="10"/>
        <color rgb="FF231F20"/>
        <rFont val="微軟正黑體"/>
        <family val="2"/>
        <charset val="136"/>
      </rPr>
      <t>Hominy feed, corn screw-pressed</t>
    </r>
  </si>
  <si>
    <t>亞麻籽</t>
  </si>
  <si>
    <r>
      <rPr>
        <sz val="10"/>
        <color rgb="FF231F20"/>
        <rFont val="微軟正黑體"/>
        <family val="2"/>
        <charset val="136"/>
      </rPr>
      <t>Flaxseed</t>
    </r>
  </si>
  <si>
    <t>魚可溶物，脫水</t>
  </si>
  <si>
    <r>
      <rPr>
        <sz val="10"/>
        <color rgb="FF231F20"/>
        <rFont val="微軟正黑體"/>
        <family val="2"/>
        <charset val="136"/>
      </rPr>
      <t>Fish solubles, dehy</t>
    </r>
  </si>
  <si>
    <t>濃縮魚可溶物</t>
  </si>
  <si>
    <r>
      <rPr>
        <sz val="10"/>
        <color rgb="FF231F20"/>
        <rFont val="微軟正黑體"/>
        <family val="2"/>
        <charset val="136"/>
      </rPr>
      <t>Fish solubles, condensed</t>
    </r>
  </si>
  <si>
    <t>魚粉，淡水，Alewife</t>
  </si>
  <si>
    <r>
      <rPr>
        <sz val="10"/>
        <color rgb="FF231F20"/>
        <rFont val="微軟正黑體"/>
        <family val="2"/>
        <charset val="136"/>
      </rPr>
      <t>Fish meal, freshwater, Alewife</t>
    </r>
  </si>
  <si>
    <t>魚粉，白色</t>
  </si>
  <si>
    <r>
      <rPr>
        <sz val="10"/>
        <color rgb="FF231F20"/>
        <rFont val="微軟正黑體"/>
        <family val="2"/>
        <charset val="136"/>
      </rPr>
      <t>Fish meal, white</t>
    </r>
  </si>
  <si>
    <t>魚粉，金槍魚</t>
  </si>
  <si>
    <r>
      <rPr>
        <sz val="10"/>
        <color rgb="FF231F20"/>
        <rFont val="微軟正黑體"/>
        <family val="2"/>
        <charset val="136"/>
      </rPr>
      <t>Fish meal, tuna</t>
    </r>
  </si>
  <si>
    <t>魚粉，沙丁魚</t>
  </si>
  <si>
    <r>
      <rPr>
        <sz val="10"/>
        <color rgb="FF231F20"/>
        <rFont val="微軟正黑體"/>
        <family val="2"/>
        <charset val="136"/>
      </rPr>
      <t>Fish meal, sardine</t>
    </r>
  </si>
  <si>
    <t>魚粉，紅魚</t>
  </si>
  <si>
    <r>
      <rPr>
        <sz val="10"/>
        <color rgb="FF231F20"/>
        <rFont val="微軟正黑體"/>
        <family val="2"/>
        <charset val="136"/>
      </rPr>
      <t>Fish meal, red fish</t>
    </r>
  </si>
  <si>
    <t>魚粉，cho魚，秘魯</t>
  </si>
  <si>
    <r>
      <rPr>
        <sz val="10"/>
        <color rgb="FF231F20"/>
        <rFont val="微軟正黑體"/>
        <family val="2"/>
        <charset val="136"/>
      </rPr>
      <t>Fish meal, anchovy, Peruvian</t>
    </r>
  </si>
  <si>
    <t>3.65(92)</t>
  </si>
  <si>
    <t>4.4(92)</t>
  </si>
  <si>
    <t>2.80(91)</t>
  </si>
  <si>
    <t>1.52(92)</t>
  </si>
  <si>
    <t>2.40(92)</t>
  </si>
  <si>
    <t>2.75(98)</t>
  </si>
  <si>
    <t>4.7(88)</t>
  </si>
  <si>
    <t>0.5(73)</t>
  </si>
  <si>
    <t>1.7(92)</t>
  </si>
  <si>
    <t>魚粉，鯡魚</t>
  </si>
  <si>
    <r>
      <rPr>
        <sz val="10"/>
        <color rgb="FF231F20"/>
        <rFont val="微軟正黑體"/>
        <family val="2"/>
        <charset val="136"/>
      </rPr>
      <t>Fish meal, menhaden</t>
    </r>
  </si>
  <si>
    <t>魚粉，鯡魚，大西洋</t>
  </si>
  <si>
    <r>
      <rPr>
        <sz val="10"/>
        <color rgb="FF231F20"/>
        <rFont val="微軟正黑體"/>
        <family val="2"/>
        <charset val="136"/>
      </rPr>
      <t>Fish meal, herring, Atlantic</t>
    </r>
  </si>
  <si>
    <t>1.5-2.0</t>
  </si>
  <si>
    <t>魚粉。亞非公司</t>
  </si>
  <si>
    <r>
      <rPr>
        <sz val="10"/>
        <color rgb="FF231F20"/>
        <rFont val="微軟正黑體"/>
        <family val="2"/>
        <charset val="136"/>
      </rPr>
      <t>Fish meal. AAFCO</t>
    </r>
  </si>
  <si>
    <t>4.0(59)</t>
  </si>
  <si>
    <t>羽毛粉，家禽</t>
  </si>
  <si>
    <r>
      <rPr>
        <sz val="10"/>
        <color rgb="FF231F20"/>
        <rFont val="微軟正黑體"/>
        <family val="2"/>
        <charset val="136"/>
      </rPr>
      <t>Feather meal, poultry</t>
    </r>
  </si>
  <si>
    <t>脂肪，蔬菜</t>
  </si>
  <si>
    <r>
      <rPr>
        <sz val="10"/>
        <color rgb="FF231F20"/>
        <rFont val="微軟正黑體"/>
        <family val="2"/>
        <charset val="136"/>
      </rPr>
      <t>Fat, vegetable</t>
    </r>
  </si>
  <si>
    <t>脂肪，黃色油脂</t>
  </si>
  <si>
    <r>
      <rPr>
        <sz val="10"/>
        <color rgb="FF231F20"/>
        <rFont val="微軟正黑體"/>
        <family val="2"/>
        <charset val="136"/>
      </rPr>
      <t>Fat, yellow grease</t>
    </r>
  </si>
  <si>
    <t>脂肪，家禽</t>
  </si>
  <si>
    <r>
      <rPr>
        <sz val="10"/>
        <color rgb="FF231F20"/>
        <rFont val="微軟正黑體"/>
        <family val="2"/>
        <charset val="136"/>
      </rPr>
      <t>Fat, poultry</t>
    </r>
  </si>
  <si>
    <t>脂肪，動物</t>
  </si>
  <si>
    <r>
      <rPr>
        <sz val="10"/>
        <color rgb="FF231F20"/>
        <rFont val="微軟正黑體"/>
        <family val="2"/>
        <charset val="136"/>
      </rPr>
      <t>Fat, animal</t>
    </r>
  </si>
  <si>
    <t>玉米乾蒸餾物</t>
  </si>
  <si>
    <r>
      <rPr>
        <sz val="10"/>
        <color rgb="FF231F20"/>
        <rFont val="微軟正黑體"/>
        <family val="2"/>
        <charset val="136"/>
      </rPr>
      <t>Distillers dried solubles, corn</t>
    </r>
  </si>
  <si>
    <t>酒糟含穀物的干糧（“低油”），玉米</t>
  </si>
  <si>
    <r>
      <rPr>
        <sz val="10"/>
        <color rgb="FF231F20"/>
        <rFont val="微軟正黑體"/>
        <family val="2"/>
        <charset val="136"/>
      </rPr>
      <t>Distillers dried grains with solubles (“Low oil”), corn</t>
    </r>
  </si>
  <si>
    <t>1.0(84)</t>
  </si>
  <si>
    <t>酒糟含穀物的酒糟（“普通油”），玉米</t>
  </si>
  <si>
    <r>
      <rPr>
        <sz val="10"/>
        <color rgb="FF231F20"/>
        <rFont val="微軟正黑體"/>
        <family val="2"/>
        <charset val="136"/>
      </rPr>
      <t>Distillers dried grains with solubles (“Normal oil”), corn</t>
    </r>
  </si>
  <si>
    <t>酒糟，玉米</t>
  </si>
  <si>
    <r>
      <rPr>
        <sz val="10"/>
        <color rgb="FF231F20"/>
        <rFont val="微軟正黑體"/>
        <family val="2"/>
        <charset val="136"/>
      </rPr>
      <t>Distillers dried grains, corn</t>
    </r>
  </si>
  <si>
    <t>酒糟W/可溶物（飲料）</t>
    <phoneticPr fontId="2" type="noConversion"/>
  </si>
  <si>
    <r>
      <rPr>
        <sz val="10"/>
        <color rgb="FF231F20"/>
        <rFont val="微軟正黑體"/>
        <family val="2"/>
        <charset val="136"/>
      </rPr>
      <t>Distillers dried grains W/solubles (Beverage)</t>
    </r>
  </si>
  <si>
    <t>蟹粉</t>
  </si>
  <si>
    <r>
      <rPr>
        <sz val="10"/>
        <color rgb="FF231F20"/>
        <rFont val="微軟正黑體"/>
        <family val="2"/>
        <charset val="136"/>
      </rPr>
      <t>Crab meal</t>
    </r>
  </si>
  <si>
    <t>棉籽，全棉種子</t>
  </si>
  <si>
    <r>
      <rPr>
        <sz val="10"/>
        <color rgb="FF231F20"/>
        <rFont val="微軟正黑體"/>
        <family val="2"/>
        <charset val="136"/>
      </rPr>
      <t>Cottonseed, whole seeds with lint</t>
    </r>
  </si>
  <si>
    <t>棉籽殼</t>
  </si>
  <si>
    <r>
      <rPr>
        <sz val="10"/>
        <color rgb="FF231F20"/>
        <rFont val="微軟正黑體"/>
        <family val="2"/>
        <charset val="136"/>
      </rPr>
      <t>Cottonseed hulls</t>
    </r>
  </si>
  <si>
    <t>棉籽粉，直接溶劑，41％</t>
  </si>
  <si>
    <r>
      <rPr>
        <sz val="10"/>
        <color rgb="FF231F20"/>
        <rFont val="微軟正黑體"/>
        <family val="2"/>
        <charset val="136"/>
      </rPr>
      <t>Cottonseed meal, 41%, direct solvent</t>
    </r>
  </si>
  <si>
    <t>棉籽粉41％，機加工。延伸</t>
  </si>
  <si>
    <r>
      <rPr>
        <sz val="10"/>
        <color rgb="FF231F20"/>
        <rFont val="微軟正黑體"/>
        <family val="2"/>
        <charset val="136"/>
      </rPr>
      <t>Cottonseed meal, 41%, mech. Extd</t>
    </r>
  </si>
  <si>
    <t>2.22(86)</t>
  </si>
  <si>
    <t>4.59(87)</t>
  </si>
  <si>
    <t>2.4(77)</t>
  </si>
  <si>
    <t>1.88(78)</t>
  </si>
  <si>
    <t>1.1(69)</t>
  </si>
  <si>
    <t>1.33(75)</t>
  </si>
  <si>
    <t>1.32(71)</t>
  </si>
  <si>
    <t>1.65(67)</t>
  </si>
  <si>
    <t>0.64(73)</t>
  </si>
  <si>
    <t>0.52(73)</t>
  </si>
  <si>
    <t>棉籽粉，41％，預壓溶劑</t>
  </si>
  <si>
    <r>
      <rPr>
        <sz val="10"/>
        <color rgb="FF231F20"/>
        <rFont val="微軟正黑體"/>
        <family val="2"/>
        <charset val="136"/>
      </rPr>
      <t>Cottonseed meal, 41%, pre-press solvent</t>
    </r>
  </si>
  <si>
    <t>2.70(95)</t>
  </si>
  <si>
    <t>2.0(92)</t>
  </si>
  <si>
    <t>1.0(88)</t>
  </si>
  <si>
    <t>玉米麵筋粉60％</t>
  </si>
  <si>
    <r>
      <rPr>
        <sz val="10"/>
        <color rgb="FF231F20"/>
        <rFont val="微軟正黑體"/>
        <family val="2"/>
        <charset val="136"/>
      </rPr>
      <t>Corn gluten meal, 60%</t>
    </r>
  </si>
  <si>
    <t>玉米麵筋粉41％</t>
  </si>
  <si>
    <r>
      <rPr>
        <sz val="10"/>
        <color rgb="FF231F20"/>
        <rFont val="微軟正黑體"/>
        <family val="2"/>
        <charset val="136"/>
      </rPr>
      <t>Corn gluten meal, 41%</t>
    </r>
  </si>
  <si>
    <t>0.8(87)</t>
  </si>
  <si>
    <t>1.0(87)</t>
  </si>
  <si>
    <t>1.9(89)</t>
  </si>
  <si>
    <t>1.04(83)</t>
  </si>
  <si>
    <t>0.7(82)</t>
  </si>
  <si>
    <t>0.6(81)</t>
  </si>
  <si>
    <t>0.9(75)</t>
  </si>
  <si>
    <t>0.6(72)</t>
  </si>
  <si>
    <t>0.5(65)</t>
  </si>
  <si>
    <t>0.5(84)</t>
  </si>
  <si>
    <t>玉米麵筋飼料</t>
  </si>
  <si>
    <r>
      <rPr>
        <sz val="10"/>
        <color rgb="FF231F20"/>
        <rFont val="微軟正黑體"/>
        <family val="2"/>
        <charset val="136"/>
      </rPr>
      <t>Corn gluten feed</t>
    </r>
  </si>
  <si>
    <t>玉米胚芽粉，乾磨</t>
  </si>
  <si>
    <r>
      <rPr>
        <sz val="10"/>
        <color rgb="FF231F20"/>
        <rFont val="微軟正黑體"/>
        <family val="2"/>
        <charset val="136"/>
      </rPr>
      <t>Corn germ meal, dry milled</t>
    </r>
  </si>
  <si>
    <t>玉米胚芽粉，濕磨</t>
  </si>
  <si>
    <r>
      <rPr>
        <sz val="10"/>
        <color rgb="FF231F20"/>
        <rFont val="微軟正黑體"/>
        <family val="2"/>
        <charset val="136"/>
      </rPr>
      <t>Corn germ meal, wet milled</t>
    </r>
  </si>
  <si>
    <t>玉米芯，餐</t>
  </si>
  <si>
    <r>
      <rPr>
        <sz val="10"/>
        <color rgb="FF231F20"/>
        <rFont val="微軟正黑體"/>
        <family val="2"/>
        <charset val="136"/>
      </rPr>
      <t>Corn cobs, meal</t>
    </r>
  </si>
  <si>
    <t>玉米，凹痕，黃色，穗狀</t>
  </si>
  <si>
    <r>
      <rPr>
        <sz val="10"/>
        <color rgb="FF231F20"/>
        <rFont val="微軟正黑體"/>
        <family val="2"/>
        <charset val="136"/>
      </rPr>
      <t>Corn, dent, yellow, ears ground</t>
    </r>
  </si>
  <si>
    <t>玉米，高油，穀物</t>
  </si>
  <si>
    <r>
      <rPr>
        <sz val="10"/>
        <color rgb="FF231F20"/>
        <rFont val="微軟正黑體"/>
        <family val="2"/>
        <charset val="136"/>
      </rPr>
      <t>Corn, high oil, grain</t>
    </r>
  </si>
  <si>
    <t>1.0(93)</t>
  </si>
  <si>
    <t>玉米，黃色，穀物</t>
  </si>
  <si>
    <r>
      <rPr>
        <sz val="10"/>
        <color rgb="FF231F20"/>
        <rFont val="微軟正黑體"/>
        <family val="2"/>
        <charset val="136"/>
      </rPr>
      <t>Corn, yellow, grain</t>
    </r>
  </si>
  <si>
    <t>0.8(84)</t>
  </si>
  <si>
    <t>2.3(85)</t>
  </si>
  <si>
    <t>1.49(80)</t>
  </si>
  <si>
    <t>1.0(78)</t>
  </si>
  <si>
    <t>0.3(69)</t>
  </si>
  <si>
    <t>0.6(58)</t>
  </si>
  <si>
    <t>0.54(58)</t>
  </si>
  <si>
    <t>0.2(48)</t>
  </si>
  <si>
    <t>0.33(83)</t>
  </si>
  <si>
    <t>椰子粉，機甲。</t>
  </si>
  <si>
    <r>
      <rPr>
        <sz val="10"/>
        <color rgb="FF231F20"/>
        <rFont val="微軟正黑體"/>
        <family val="2"/>
        <charset val="136"/>
      </rPr>
      <t>Coconut meal, mech.</t>
    </r>
  </si>
  <si>
    <t>柑桔幹</t>
  </si>
  <si>
    <r>
      <rPr>
        <sz val="10"/>
        <color rgb="FF231F20"/>
        <rFont val="微軟正黑體"/>
        <family val="2"/>
        <charset val="136"/>
      </rPr>
      <t>Citrus pulp, dried</t>
    </r>
  </si>
  <si>
    <t>牛糞幹</t>
  </si>
  <si>
    <r>
      <rPr>
        <sz val="10"/>
        <color rgb="FF231F20"/>
        <rFont val="微軟正黑體"/>
        <family val="2"/>
        <charset val="136"/>
      </rPr>
      <t>Cattle manure, dried</t>
    </r>
  </si>
  <si>
    <t>木薯塊莖</t>
  </si>
  <si>
    <r>
      <rPr>
        <sz val="10"/>
        <color rgb="FF231F20"/>
        <rFont val="微軟正黑體"/>
        <family val="2"/>
        <charset val="136"/>
      </rPr>
      <t>Cassava tubers, meal</t>
    </r>
  </si>
  <si>
    <t>4.6(99)</t>
  </si>
  <si>
    <t>3.4(97)</t>
  </si>
  <si>
    <t>8.7(99)</t>
  </si>
  <si>
    <t>6.8(98)</t>
  </si>
  <si>
    <t>2.5(96)</t>
  </si>
  <si>
    <t>5.7(98)</t>
  </si>
  <si>
    <t>3.8(98)</t>
  </si>
  <si>
    <t>7.0(97)</t>
  </si>
  <si>
    <t>0.3(84)</t>
  </si>
  <si>
    <t>2.7(99)</t>
  </si>
  <si>
    <t>酪蛋白，幹</t>
  </si>
  <si>
    <r>
      <rPr>
        <sz val="10"/>
        <color rgb="FF231F20"/>
        <rFont val="微軟正黑體"/>
        <family val="2"/>
        <charset val="136"/>
      </rPr>
      <t>Casein, dried</t>
    </r>
  </si>
  <si>
    <t>1.5(87)</t>
  </si>
  <si>
    <t>2.3(90)</t>
  </si>
  <si>
    <t>2.6(87)</t>
  </si>
  <si>
    <t>1.94(82)</t>
  </si>
  <si>
    <t>1.10(85)</t>
  </si>
  <si>
    <t>1.51(83)</t>
  </si>
  <si>
    <t>1.50(78)</t>
  </si>
  <si>
    <t>0.46(82)</t>
  </si>
  <si>
    <t>2.02(79)</t>
  </si>
  <si>
    <t>0.97(73)</t>
  </si>
  <si>
    <t>0.77(90)</t>
  </si>
  <si>
    <t>雙低菜粕</t>
  </si>
  <si>
    <r>
      <rPr>
        <sz val="10"/>
        <color rgb="FF231F20"/>
        <rFont val="微軟正黑體"/>
        <family val="2"/>
        <charset val="136"/>
      </rPr>
      <t>Canola meal</t>
    </r>
  </si>
  <si>
    <t>1.40(92)</t>
  </si>
  <si>
    <t>2.62(94)</t>
  </si>
  <si>
    <t>2.13(91)</t>
  </si>
  <si>
    <t>1.61(88)</t>
  </si>
  <si>
    <t>0.75(91)</t>
  </si>
  <si>
    <t>1.20(89)</t>
  </si>
  <si>
    <t>1.30(84)</t>
  </si>
  <si>
    <t>0.42(93)</t>
  </si>
  <si>
    <t>1.54(86)</t>
  </si>
  <si>
    <t>0.66(85)</t>
  </si>
  <si>
    <t>0.61(92)</t>
  </si>
  <si>
    <t>茶花粉</t>
  </si>
  <si>
    <r>
      <rPr>
        <sz val="10"/>
        <color rgb="FF231F20"/>
        <rFont val="微軟正黑體"/>
        <family val="2"/>
        <charset val="136"/>
      </rPr>
      <t>Camelina meal</t>
    </r>
  </si>
  <si>
    <t>乾酪乳</t>
  </si>
  <si>
    <r>
      <rPr>
        <sz val="10"/>
        <color rgb="FF231F20"/>
        <rFont val="微軟正黑體"/>
        <family val="2"/>
        <charset val="136"/>
      </rPr>
      <t>Buttermilk, dried</t>
    </r>
  </si>
  <si>
    <t>蕎麥，穀物</t>
  </si>
  <si>
    <r>
      <rPr>
        <sz val="10"/>
        <color rgb="FF231F20"/>
        <rFont val="微軟正黑體"/>
        <family val="2"/>
        <charset val="136"/>
      </rPr>
      <t>Buckwheat, grain</t>
    </r>
  </si>
  <si>
    <t>1.0-1.5</t>
  </si>
  <si>
    <t>啤酒釀造幹酵母</t>
  </si>
  <si>
    <r>
      <rPr>
        <sz val="10"/>
        <color rgb="FF231F20"/>
        <rFont val="微軟正黑體"/>
        <family val="2"/>
        <charset val="136"/>
      </rPr>
      <t>Brewers dried yeast</t>
    </r>
  </si>
  <si>
    <t>釀酒商乾糧</t>
  </si>
  <si>
    <r>
      <rPr>
        <sz val="10"/>
        <color rgb="FF231F20"/>
        <rFont val="微軟正黑體"/>
        <family val="2"/>
        <charset val="136"/>
      </rPr>
      <t>Brewers dried grain</t>
    </r>
  </si>
  <si>
    <t>5.1(88)</t>
  </si>
  <si>
    <t>2.35(87)</t>
  </si>
  <si>
    <t>10.3(89)</t>
  </si>
  <si>
    <t>5.2(87)</t>
  </si>
  <si>
    <t>3.05(84)</t>
  </si>
  <si>
    <t>0.8(78)</t>
  </si>
  <si>
    <t>3.8(87)</t>
  </si>
  <si>
    <t>6.9(86)</t>
  </si>
  <si>
    <t>1.4(76)</t>
  </si>
  <si>
    <t>1.0(91)</t>
  </si>
  <si>
    <t>動物血粉</t>
  </si>
  <si>
    <r>
      <rPr>
        <sz val="10"/>
        <color rgb="FF231F20"/>
        <rFont val="微軟正黑體"/>
        <family val="2"/>
        <charset val="136"/>
      </rPr>
      <t>Blood meal, animal</t>
    </r>
  </si>
  <si>
    <t>甜菜漿，幹</t>
  </si>
  <si>
    <r>
      <rPr>
        <sz val="10"/>
        <color rgb="FF231F20"/>
        <rFont val="微軟正黑體"/>
        <family val="2"/>
        <charset val="136"/>
      </rPr>
      <t>Beet pulp, dried</t>
    </r>
  </si>
  <si>
    <t>蠶豆（蠶豆）</t>
  </si>
  <si>
    <r>
      <rPr>
        <sz val="10"/>
        <color rgb="FF231F20"/>
        <rFont val="微軟正黑體"/>
        <family val="2"/>
        <charset val="136"/>
      </rPr>
      <t>Beans, broad (vicia faba)</t>
    </r>
  </si>
  <si>
    <t>大麥，麥芽，甜甜</t>
  </si>
  <si>
    <r>
      <rPr>
        <sz val="10"/>
        <color rgb="FF231F20"/>
        <rFont val="微軟正黑體"/>
        <family val="2"/>
        <charset val="136"/>
      </rPr>
      <t>Barley, malt, eehy</t>
    </r>
  </si>
  <si>
    <t>大麥，穀物，西方</t>
  </si>
  <si>
    <r>
      <rPr>
        <sz val="10"/>
        <color rgb="FF231F20"/>
        <rFont val="微軟正黑體"/>
        <family val="2"/>
        <charset val="136"/>
      </rPr>
      <t>Barley, grain, Western</t>
    </r>
  </si>
  <si>
    <t>大麥，穀物</t>
  </si>
  <si>
    <r>
      <rPr>
        <sz val="10"/>
        <color rgb="FF231F20"/>
        <rFont val="微軟正黑體"/>
        <family val="2"/>
        <charset val="136"/>
      </rPr>
      <t>Barley, grain</t>
    </r>
  </si>
  <si>
    <t>麵包粉，低灰分/纖維</t>
  </si>
  <si>
    <r>
      <rPr>
        <sz val="10"/>
        <color rgb="FF231F20"/>
        <rFont val="微軟正黑體"/>
        <family val="2"/>
        <charset val="136"/>
      </rPr>
      <t>Bakery meal, low ash/fiber</t>
    </r>
  </si>
  <si>
    <t>0.4(86)</t>
  </si>
  <si>
    <t>0.4(84)</t>
  </si>
  <si>
    <t>0.4(81)</t>
  </si>
  <si>
    <t>0.2(82)</t>
  </si>
  <si>
    <t>0.36(84)</t>
  </si>
  <si>
    <t>0.28(72)</t>
  </si>
  <si>
    <t>0.3(64)</t>
  </si>
  <si>
    <t>0.16(80)</t>
  </si>
  <si>
    <t>0.16(85)</t>
  </si>
  <si>
    <t>麵包餐</t>
  </si>
  <si>
    <r>
      <rPr>
        <sz val="10"/>
        <color rgb="FF231F20"/>
        <rFont val="微軟正黑體"/>
        <family val="2"/>
        <charset val="136"/>
      </rPr>
      <t>Bakery meal</t>
    </r>
  </si>
  <si>
    <t>苜蓿粉，曬乾</t>
  </si>
  <si>
    <r>
      <rPr>
        <sz val="10"/>
        <color rgb="FF231F20"/>
        <rFont val="微軟正黑體"/>
        <family val="2"/>
        <charset val="136"/>
      </rPr>
      <t>Alfalfa meal, suncured</t>
    </r>
  </si>
  <si>
    <t>紫花苜蓿粉</t>
  </si>
  <si>
    <r>
      <rPr>
        <sz val="10"/>
        <color rgb="FF231F20"/>
        <rFont val="微軟正黑體"/>
        <family val="2"/>
        <charset val="136"/>
      </rPr>
      <t>Alfalfa meal, dehy</t>
    </r>
  </si>
  <si>
    <t>0.91(78)</t>
  </si>
  <si>
    <t>0.75(82)</t>
  </si>
  <si>
    <t>1.3(80)</t>
  </si>
  <si>
    <t>1.04(75)</t>
  </si>
  <si>
    <t>0.35(74)</t>
  </si>
  <si>
    <t>0.84(77)</t>
  </si>
  <si>
    <t>0.75(71)</t>
  </si>
  <si>
    <t>0.73(59)</t>
  </si>
  <si>
    <t>0.18(40)</t>
  </si>
  <si>
    <t>0.28(73)</t>
  </si>
  <si>
    <t>—4</t>
  </si>
  <si>
    <t>ppm3</t>
    <phoneticPr fontId="2" type="noConversion"/>
  </si>
  <si>
    <t>%</t>
    <phoneticPr fontId="2" type="noConversion"/>
  </si>
  <si>
    <t>氯</t>
    <phoneticPr fontId="2" type="noConversion"/>
  </si>
  <si>
    <t>菸酸</t>
  </si>
  <si>
    <t>維生素B12</t>
  </si>
  <si>
    <t>膽鹼</t>
  </si>
  <si>
    <t>葉酸</t>
  </si>
  <si>
    <t>生物素</t>
  </si>
  <si>
    <t>泛酸</t>
  </si>
  <si>
    <t>核黃素</t>
  </si>
  <si>
    <t>硫胺素</t>
  </si>
  <si>
    <t>維生素E</t>
  </si>
  <si>
    <t>維生素A</t>
  </si>
  <si>
    <t>胡蘿蔔素</t>
  </si>
  <si>
    <t>苯丙氨酸</t>
  </si>
  <si>
    <t>精氨酸</t>
    <phoneticPr fontId="2" type="noConversion"/>
  </si>
  <si>
    <t>白胺酸</t>
    <phoneticPr fontId="2" type="noConversion"/>
  </si>
  <si>
    <t>纈氨酸</t>
    <phoneticPr fontId="2" type="noConversion"/>
  </si>
  <si>
    <t>組胺酸</t>
    <phoneticPr fontId="2" type="noConversion"/>
  </si>
  <si>
    <t>異白胺酸</t>
    <phoneticPr fontId="2" type="noConversion"/>
  </si>
  <si>
    <t>蘇胺酸</t>
    <phoneticPr fontId="2" type="noConversion"/>
  </si>
  <si>
    <t>色氨酸</t>
  </si>
  <si>
    <t>離胺酸</t>
    <phoneticPr fontId="2" type="noConversion"/>
  </si>
  <si>
    <t>胱胺酸</t>
    <phoneticPr fontId="2" type="noConversion"/>
  </si>
  <si>
    <t>甲硫胺酸</t>
    <phoneticPr fontId="2" type="noConversion"/>
  </si>
  <si>
    <t>豬代謝能</t>
    <phoneticPr fontId="2" type="noConversion"/>
  </si>
  <si>
    <t>禽類代謝能</t>
    <phoneticPr fontId="2" type="noConversion"/>
  </si>
  <si>
    <t>反芻
總營養</t>
    <phoneticPr fontId="2" type="noConversion"/>
  </si>
  <si>
    <t>反芻
可消化蛋白</t>
    <phoneticPr fontId="2" type="noConversion"/>
  </si>
  <si>
    <t>灰分</t>
    <phoneticPr fontId="2" type="noConversion"/>
  </si>
  <si>
    <t>可用磷</t>
    <phoneticPr fontId="2" type="noConversion"/>
  </si>
  <si>
    <t>總磷</t>
    <phoneticPr fontId="2" type="noConversion"/>
  </si>
  <si>
    <t>鈣</t>
    <phoneticPr fontId="2" type="noConversion"/>
  </si>
  <si>
    <t>粗纖維</t>
    <phoneticPr fontId="2" type="noConversion"/>
  </si>
  <si>
    <t>粗脂肪</t>
    <phoneticPr fontId="2" type="noConversion"/>
  </si>
  <si>
    <t>粗蛋白</t>
    <phoneticPr fontId="2" type="noConversion"/>
  </si>
  <si>
    <t>乾物質</t>
    <phoneticPr fontId="2" type="noConversion"/>
  </si>
  <si>
    <t>原料中文</t>
    <phoneticPr fontId="2" type="noConversion"/>
  </si>
  <si>
    <t>原料英文</t>
    <phoneticPr fontId="2" type="noConversion"/>
  </si>
  <si>
    <t>前期對照</t>
  </si>
  <si>
    <t>廢棄香菇菇包</t>
  </si>
  <si>
    <t>期別</t>
  </si>
  <si>
    <t>前期</t>
  </si>
  <si>
    <t>後期</t>
    <phoneticPr fontId="1" type="noConversion"/>
  </si>
  <si>
    <t>肉雞</t>
  </si>
  <si>
    <t>lab Ross(2019)</t>
    <phoneticPr fontId="1" type="noConversion"/>
  </si>
  <si>
    <t>新格式</t>
    <phoneticPr fontId="1" type="noConversion"/>
  </si>
  <si>
    <t>項目</t>
    <phoneticPr fontId="1" type="noConversion"/>
  </si>
  <si>
    <t>編號</t>
    <phoneticPr fontId="1" type="noConversion"/>
  </si>
  <si>
    <t>磷酸一鈣</t>
    <phoneticPr fontId="1" type="noConversion"/>
  </si>
  <si>
    <t>石灰石粉</t>
    <phoneticPr fontId="1" type="noConversion"/>
  </si>
  <si>
    <t>DL-Met</t>
    <phoneticPr fontId="1" type="noConversion"/>
  </si>
  <si>
    <t>L-Lys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</si>
</sst>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"/>
    <numFmt numFmtId="177" formatCode="0.000"/>
    <numFmt numFmtId="178" formatCode="m&quot;月&quot;d&quot;日&quot;"/>
    <numFmt numFmtId="179" formatCode="0.0000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4"/>
      <charset val="136"/>
    </font>
    <font>
      <sz val="10"/>
      <color theme="1"/>
      <name val="新細明體"/>
      <family val="2"/>
      <charset val="136"/>
      <scheme val="minor"/>
    </font>
    <font>
      <sz val="10"/>
      <color theme="1"/>
      <name val="Times New Roman"/>
      <family val="1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231F2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 wrapText="1"/>
    </xf>
    <xf numFmtId="2" fontId="2" fillId="0" borderId="16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P25"/>
  <sheetViews>
    <sheetView workbookViewId="0">
      <selection activeCell="E12" sqref="E12"/>
    </sheetView>
  </sheetViews>
  <sheetFormatPr defaultRowHeight="16.5" x14ac:dyDescent="0.25"/>
  <cols>
    <col min="1" max="2" width="9" style="2"/>
    <col min="3" max="3" width="22.75" style="2" customWidth="1"/>
    <col min="4" max="16384" width="9" style="2"/>
  </cols>
  <sheetData>
    <row r="8" spans="3:16" x14ac:dyDescent="0.25">
      <c r="C8" s="25"/>
      <c r="D8" s="25" t="s">
        <v>391</v>
      </c>
      <c r="E8" s="25" t="s">
        <v>392</v>
      </c>
      <c r="F8" s="25" t="s">
        <v>301</v>
      </c>
      <c r="G8" s="25" t="s">
        <v>379</v>
      </c>
      <c r="H8" s="25" t="s">
        <v>306</v>
      </c>
      <c r="I8" s="25" t="s">
        <v>305</v>
      </c>
      <c r="J8" s="25" t="s">
        <v>307</v>
      </c>
      <c r="K8" s="25" t="s">
        <v>309</v>
      </c>
      <c r="L8" s="25" t="s">
        <v>326</v>
      </c>
      <c r="M8" s="25" t="s">
        <v>323</v>
      </c>
      <c r="N8" s="25" t="s">
        <v>393</v>
      </c>
      <c r="O8" s="25" t="s">
        <v>329</v>
      </c>
      <c r="P8" s="25" t="s">
        <v>62</v>
      </c>
    </row>
    <row r="9" spans="3:16" x14ac:dyDescent="0.25">
      <c r="C9" s="26"/>
      <c r="D9" s="26" t="s">
        <v>75</v>
      </c>
      <c r="E9" s="26" t="s">
        <v>394</v>
      </c>
      <c r="F9" s="26" t="s">
        <v>75</v>
      </c>
      <c r="G9" s="26" t="s">
        <v>77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</row>
    <row r="10" spans="3:16" x14ac:dyDescent="0.25">
      <c r="C10" s="24" t="s">
        <v>395</v>
      </c>
      <c r="D10" s="24">
        <v>51.96</v>
      </c>
      <c r="E10" s="24">
        <v>6.5</v>
      </c>
      <c r="F10" s="24">
        <v>7.5</v>
      </c>
      <c r="G10" s="24">
        <v>3373</v>
      </c>
      <c r="H10" s="24">
        <v>1.9</v>
      </c>
      <c r="I10" s="24">
        <v>3.5</v>
      </c>
      <c r="J10" s="24">
        <v>0.01</v>
      </c>
      <c r="K10" s="24">
        <v>0.12</v>
      </c>
      <c r="L10" s="24">
        <v>0.19439999999999999</v>
      </c>
      <c r="M10" s="24">
        <v>0.1638</v>
      </c>
      <c r="N10" s="24">
        <v>0.31679999999999997</v>
      </c>
      <c r="O10" s="24">
        <v>0.24359999999999998</v>
      </c>
      <c r="P10" s="24">
        <v>0.11</v>
      </c>
    </row>
    <row r="11" spans="3:16" x14ac:dyDescent="0.25">
      <c r="C11" s="24" t="s">
        <v>396</v>
      </c>
      <c r="D11" s="24">
        <v>20.61</v>
      </c>
      <c r="E11" s="24">
        <v>14</v>
      </c>
      <c r="F11" s="24">
        <v>38</v>
      </c>
      <c r="G11" s="24">
        <v>3350</v>
      </c>
      <c r="H11" s="24">
        <v>5</v>
      </c>
      <c r="I11" s="24">
        <v>18</v>
      </c>
      <c r="J11" s="24">
        <v>0.25</v>
      </c>
      <c r="K11" s="24">
        <v>0.2</v>
      </c>
      <c r="L11" s="24">
        <v>2.1800000000000002</v>
      </c>
      <c r="M11" s="24">
        <v>0.49680000000000002</v>
      </c>
      <c r="N11" s="24">
        <v>0.94789999999999996</v>
      </c>
      <c r="O11" s="24">
        <v>1.4872000000000001</v>
      </c>
      <c r="P11" s="24">
        <v>0.24199999999999999</v>
      </c>
    </row>
    <row r="12" spans="3:16" x14ac:dyDescent="0.25">
      <c r="C12" s="24" t="s">
        <v>397</v>
      </c>
      <c r="D12" s="24">
        <v>20.51</v>
      </c>
      <c r="E12" s="24">
        <v>12.8</v>
      </c>
      <c r="F12" s="24">
        <v>44</v>
      </c>
      <c r="G12" s="24">
        <v>2240</v>
      </c>
      <c r="H12" s="24">
        <v>7</v>
      </c>
      <c r="I12" s="24">
        <v>0.5</v>
      </c>
      <c r="J12" s="24">
        <v>0.25</v>
      </c>
      <c r="K12" s="24">
        <v>0.2</v>
      </c>
      <c r="L12" s="24">
        <v>2.46</v>
      </c>
      <c r="M12" s="24">
        <v>0.59799999999999998</v>
      </c>
      <c r="N12" s="24">
        <v>1.1478999999999999</v>
      </c>
      <c r="O12" s="24">
        <v>1.496</v>
      </c>
      <c r="P12" s="24">
        <v>0.27429999999999999</v>
      </c>
    </row>
    <row r="13" spans="3:16" x14ac:dyDescent="0.25">
      <c r="C13" s="24" t="s">
        <v>398</v>
      </c>
      <c r="D13" s="24">
        <v>0</v>
      </c>
      <c r="E13" s="24">
        <v>28</v>
      </c>
      <c r="F13" s="24">
        <v>0</v>
      </c>
      <c r="G13" s="24">
        <v>8800</v>
      </c>
      <c r="H13" s="24"/>
      <c r="I13" s="24">
        <v>99</v>
      </c>
      <c r="J13" s="24"/>
      <c r="K13" s="24"/>
      <c r="L13" s="24"/>
      <c r="M13" s="24"/>
      <c r="N13" s="24"/>
      <c r="O13" s="24"/>
      <c r="P13" s="24"/>
    </row>
    <row r="14" spans="3:16" x14ac:dyDescent="0.25">
      <c r="C14" s="24" t="s">
        <v>399</v>
      </c>
      <c r="D14" s="24">
        <v>3.46</v>
      </c>
      <c r="E14" s="24">
        <v>45</v>
      </c>
      <c r="F14" s="24">
        <v>65</v>
      </c>
      <c r="G14" s="24">
        <v>2820</v>
      </c>
      <c r="H14" s="24">
        <v>1</v>
      </c>
      <c r="I14" s="24">
        <v>10</v>
      </c>
      <c r="J14" s="24">
        <v>4</v>
      </c>
      <c r="K14" s="24">
        <v>2.85</v>
      </c>
      <c r="L14" s="24">
        <v>3.92</v>
      </c>
      <c r="M14" s="24">
        <v>1.51</v>
      </c>
      <c r="N14" s="24">
        <v>1.9</v>
      </c>
      <c r="O14" s="24">
        <v>2.09</v>
      </c>
      <c r="P14" s="24">
        <v>0.51</v>
      </c>
    </row>
    <row r="15" spans="3:16" x14ac:dyDescent="0.25">
      <c r="C15" s="24" t="s">
        <v>400</v>
      </c>
      <c r="D15" s="24">
        <v>1.1299999999999999</v>
      </c>
      <c r="E15" s="24">
        <v>20</v>
      </c>
      <c r="F15" s="24"/>
      <c r="G15" s="24"/>
      <c r="H15" s="24"/>
      <c r="I15" s="24"/>
      <c r="J15" s="24">
        <v>17</v>
      </c>
      <c r="K15" s="24">
        <v>21</v>
      </c>
      <c r="L15" s="24"/>
      <c r="M15" s="24"/>
      <c r="N15" s="24"/>
      <c r="O15" s="24"/>
      <c r="P15" s="24"/>
    </row>
    <row r="16" spans="3:16" x14ac:dyDescent="0.25">
      <c r="C16" s="24" t="s">
        <v>401</v>
      </c>
      <c r="D16" s="24">
        <v>1.37</v>
      </c>
      <c r="E16" s="24">
        <v>3</v>
      </c>
      <c r="F16" s="24"/>
      <c r="G16" s="24"/>
      <c r="H16" s="24"/>
      <c r="I16" s="24"/>
      <c r="J16" s="24">
        <v>38</v>
      </c>
      <c r="K16" s="24"/>
      <c r="L16" s="24"/>
      <c r="M16" s="24"/>
      <c r="N16" s="24"/>
      <c r="O16" s="24"/>
      <c r="P16" s="24"/>
    </row>
    <row r="17" spans="3:16" x14ac:dyDescent="0.25">
      <c r="C17" s="24" t="s">
        <v>402</v>
      </c>
      <c r="D17" s="24">
        <v>0.3</v>
      </c>
      <c r="E17" s="24">
        <v>5</v>
      </c>
      <c r="F17" s="24"/>
      <c r="G17" s="24"/>
      <c r="H17" s="24"/>
      <c r="I17" s="24"/>
      <c r="J17" s="24">
        <v>0.03</v>
      </c>
      <c r="K17" s="24"/>
      <c r="L17" s="24"/>
      <c r="M17" s="24"/>
      <c r="N17" s="24"/>
      <c r="O17" s="24"/>
      <c r="P17" s="24"/>
    </row>
    <row r="18" spans="3:16" x14ac:dyDescent="0.25">
      <c r="C18" s="24" t="s">
        <v>370</v>
      </c>
      <c r="D18" s="24">
        <v>0.28999999999999998</v>
      </c>
      <c r="E18" s="24">
        <v>100</v>
      </c>
      <c r="F18" s="24"/>
      <c r="G18" s="24"/>
      <c r="H18" s="24"/>
      <c r="I18" s="24"/>
      <c r="J18" s="24"/>
      <c r="K18" s="24"/>
      <c r="L18" s="24"/>
      <c r="M18" s="24">
        <v>100</v>
      </c>
      <c r="N18" s="24">
        <v>100</v>
      </c>
      <c r="O18" s="24"/>
      <c r="P18" s="24"/>
    </row>
    <row r="19" spans="3:16" x14ac:dyDescent="0.25">
      <c r="C19" s="24" t="s">
        <v>371</v>
      </c>
      <c r="D19" s="24">
        <v>0.12</v>
      </c>
      <c r="E19" s="24">
        <v>40</v>
      </c>
      <c r="F19" s="24"/>
      <c r="G19" s="24"/>
      <c r="H19" s="24"/>
      <c r="I19" s="24"/>
      <c r="J19" s="24"/>
      <c r="K19" s="24"/>
      <c r="L19" s="24">
        <v>76</v>
      </c>
      <c r="M19" s="24"/>
      <c r="N19" s="24"/>
      <c r="O19" s="24"/>
      <c r="P19" s="24"/>
    </row>
    <row r="20" spans="3:16" x14ac:dyDescent="0.25">
      <c r="C20" s="24" t="s">
        <v>390</v>
      </c>
      <c r="D20" s="24">
        <v>0.05</v>
      </c>
      <c r="E20" s="24">
        <v>70</v>
      </c>
      <c r="F20" s="24"/>
      <c r="G20" s="24"/>
      <c r="H20" s="24"/>
      <c r="I20" s="24"/>
      <c r="J20" s="24"/>
      <c r="K20" s="24"/>
      <c r="L20" s="24"/>
      <c r="M20" s="24"/>
      <c r="N20" s="24"/>
      <c r="O20" s="24">
        <v>100</v>
      </c>
      <c r="P20" s="24"/>
    </row>
    <row r="21" spans="3:16" x14ac:dyDescent="0.25">
      <c r="C21" s="24" t="s">
        <v>380</v>
      </c>
      <c r="D21" s="24">
        <v>0</v>
      </c>
      <c r="E21" s="24">
        <v>30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v>43</v>
      </c>
    </row>
    <row r="22" spans="3:16" x14ac:dyDescent="0.25">
      <c r="C22" s="24" t="s">
        <v>386</v>
      </c>
      <c r="D22" s="24">
        <v>0.1</v>
      </c>
      <c r="E22" s="24">
        <v>300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</row>
    <row r="23" spans="3:16" x14ac:dyDescent="0.25">
      <c r="C23" s="26" t="s">
        <v>385</v>
      </c>
      <c r="D23" s="26">
        <v>0.1</v>
      </c>
      <c r="E23" s="26">
        <v>6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3:16" x14ac:dyDescent="0.25">
      <c r="C24" s="24" t="s">
        <v>403</v>
      </c>
      <c r="D24" s="24">
        <v>99.999999999999986</v>
      </c>
      <c r="E24" s="24">
        <v>11.406179999999997</v>
      </c>
      <c r="F24" s="24">
        <v>23.002199999999998</v>
      </c>
      <c r="G24" s="24">
        <v>3000.0418000000004</v>
      </c>
      <c r="H24" s="24">
        <v>3.4880400000000003</v>
      </c>
      <c r="I24" s="24">
        <v>5.9769500000000004</v>
      </c>
      <c r="J24" s="24">
        <v>0.95918599999999998</v>
      </c>
      <c r="K24" s="24">
        <v>0.48050199999999998</v>
      </c>
      <c r="L24" s="24">
        <v>1.28168624</v>
      </c>
      <c r="M24" s="24">
        <v>0.65239676000000002</v>
      </c>
      <c r="N24" s="24">
        <v>0.95114575999999995</v>
      </c>
      <c r="O24" s="24">
        <v>0.86223008000000012</v>
      </c>
      <c r="P24" s="24">
        <v>0.18093713</v>
      </c>
    </row>
    <row r="25" spans="3:16" x14ac:dyDescent="0.25">
      <c r="C25" s="24" t="s">
        <v>404</v>
      </c>
      <c r="D25" s="24">
        <v>100</v>
      </c>
      <c r="E25" s="24"/>
      <c r="F25" s="24">
        <v>23</v>
      </c>
      <c r="G25" s="24">
        <v>3000</v>
      </c>
      <c r="H25" s="24" t="s">
        <v>405</v>
      </c>
      <c r="I25" s="24" t="s">
        <v>406</v>
      </c>
      <c r="J25" s="24">
        <v>0.96</v>
      </c>
      <c r="K25" s="24">
        <v>0.48</v>
      </c>
      <c r="L25" s="24">
        <v>1.28</v>
      </c>
      <c r="M25" s="24">
        <v>0.51</v>
      </c>
      <c r="N25" s="24">
        <v>0.95</v>
      </c>
      <c r="O25" s="24">
        <v>0.86</v>
      </c>
      <c r="P25" s="24">
        <v>0.17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topLeftCell="A14" workbookViewId="0">
      <selection activeCell="S20" sqref="S20"/>
    </sheetView>
  </sheetViews>
  <sheetFormatPr defaultRowHeight="16.5" x14ac:dyDescent="0.25"/>
  <cols>
    <col min="1" max="1" width="15.25" style="33" bestFit="1" customWidth="1"/>
    <col min="2" max="2" width="24.25" style="27" bestFit="1" customWidth="1"/>
    <col min="3" max="3" width="6.875" style="33" bestFit="1" customWidth="1"/>
    <col min="4" max="4" width="7" style="27" bestFit="1" customWidth="1"/>
    <col min="5" max="5" width="6.875" style="27" bestFit="1" customWidth="1"/>
    <col min="6" max="6" width="11.875" style="27" bestFit="1" customWidth="1"/>
    <col min="7" max="7" width="5.75" style="27" bestFit="1" customWidth="1"/>
    <col min="8" max="8" width="7.375" style="27" bestFit="1" customWidth="1"/>
    <col min="9" max="9" width="9.25" style="27" bestFit="1" customWidth="1"/>
    <col min="10" max="10" width="10.25" style="27" bestFit="1" customWidth="1"/>
    <col min="11" max="11" width="10.5" style="27" bestFit="1" customWidth="1"/>
    <col min="12" max="12" width="9" style="27" bestFit="1" customWidth="1"/>
    <col min="13" max="13" width="8.375" style="27" bestFit="1" customWidth="1"/>
    <col min="14" max="14" width="9.125" style="27" bestFit="1" customWidth="1"/>
    <col min="15" max="15" width="9.625" style="27" bestFit="1" customWidth="1"/>
    <col min="16" max="16" width="10" style="27" bestFit="1" customWidth="1"/>
    <col min="17" max="17" width="8.125" style="27" bestFit="1" customWidth="1"/>
    <col min="18" max="18" width="11" style="27" bestFit="1" customWidth="1"/>
    <col min="19" max="19" width="12.25" style="27" bestFit="1" customWidth="1"/>
    <col min="20" max="20" width="5.375" style="27" bestFit="1" customWidth="1"/>
    <col min="21" max="21" width="6.625" style="27" bestFit="1" customWidth="1"/>
    <col min="22" max="22" width="7" style="27" bestFit="1" customWidth="1"/>
    <col min="23" max="23" width="5.375" style="27" bestFit="1" customWidth="1"/>
    <col min="24" max="24" width="7" style="27" bestFit="1" customWidth="1"/>
    <col min="25" max="16384" width="9" style="27"/>
  </cols>
  <sheetData>
    <row r="1" spans="1:22" s="33" customFormat="1" x14ac:dyDescent="0.25">
      <c r="A1" s="32">
        <v>1</v>
      </c>
      <c r="B1" s="32">
        <v>2</v>
      </c>
      <c r="C1" s="32">
        <v>3</v>
      </c>
      <c r="D1" s="32">
        <v>4</v>
      </c>
      <c r="E1" s="32">
        <v>5</v>
      </c>
      <c r="F1" s="32">
        <v>6</v>
      </c>
      <c r="G1" s="32">
        <v>7</v>
      </c>
      <c r="H1" s="32">
        <v>8</v>
      </c>
      <c r="I1" s="32">
        <v>9</v>
      </c>
      <c r="J1" s="32">
        <v>10</v>
      </c>
      <c r="K1" s="32">
        <v>11</v>
      </c>
      <c r="L1" s="32">
        <v>12</v>
      </c>
      <c r="M1" s="32">
        <v>13</v>
      </c>
      <c r="N1" s="32">
        <v>14</v>
      </c>
      <c r="O1" s="32">
        <v>15</v>
      </c>
      <c r="P1" s="32">
        <v>16</v>
      </c>
      <c r="Q1" s="32">
        <v>17</v>
      </c>
      <c r="R1" s="32">
        <v>18</v>
      </c>
      <c r="S1" s="32">
        <v>19</v>
      </c>
      <c r="T1" s="32">
        <v>20</v>
      </c>
      <c r="U1" s="32">
        <v>21</v>
      </c>
      <c r="V1" s="43"/>
    </row>
    <row r="2" spans="1:22" x14ac:dyDescent="0.25">
      <c r="A2" s="32" t="s">
        <v>931</v>
      </c>
      <c r="B2" s="19" t="s">
        <v>930</v>
      </c>
      <c r="C2" s="34" t="s">
        <v>381</v>
      </c>
      <c r="D2" s="45" t="s">
        <v>301</v>
      </c>
      <c r="E2" s="45" t="s">
        <v>379</v>
      </c>
      <c r="F2" s="45" t="s">
        <v>306</v>
      </c>
      <c r="G2" s="45" t="s">
        <v>305</v>
      </c>
      <c r="H2" s="45" t="s">
        <v>51</v>
      </c>
      <c r="I2" s="45" t="s">
        <v>49</v>
      </c>
      <c r="J2" s="45" t="s">
        <v>378</v>
      </c>
      <c r="K2" s="45" t="s">
        <v>53</v>
      </c>
      <c r="L2" s="45" t="s">
        <v>209</v>
      </c>
      <c r="M2" s="45" t="s">
        <v>210</v>
      </c>
      <c r="N2" s="45" t="s">
        <v>211</v>
      </c>
      <c r="O2" s="45" t="s">
        <v>212</v>
      </c>
      <c r="P2" s="45" t="s">
        <v>55</v>
      </c>
      <c r="Q2" s="45" t="s">
        <v>57</v>
      </c>
      <c r="R2" s="45" t="s">
        <v>89</v>
      </c>
      <c r="S2" s="45" t="s">
        <v>307</v>
      </c>
      <c r="T2" s="45" t="s">
        <v>373</v>
      </c>
      <c r="U2" s="45" t="s">
        <v>374</v>
      </c>
      <c r="V2" s="43"/>
    </row>
    <row r="3" spans="1:22" x14ac:dyDescent="0.25">
      <c r="A3" s="32"/>
      <c r="B3" s="19"/>
      <c r="C3" s="34" t="s">
        <v>382</v>
      </c>
      <c r="D3" s="45" t="s">
        <v>75</v>
      </c>
      <c r="E3" s="45" t="s">
        <v>77</v>
      </c>
      <c r="F3" s="45" t="s">
        <v>75</v>
      </c>
      <c r="G3" s="45" t="s">
        <v>75</v>
      </c>
      <c r="H3" s="45" t="s">
        <v>75</v>
      </c>
      <c r="I3" s="45" t="s">
        <v>75</v>
      </c>
      <c r="J3" s="45" t="s">
        <v>75</v>
      </c>
      <c r="K3" s="45" t="s">
        <v>377</v>
      </c>
      <c r="L3" s="45" t="s">
        <v>377</v>
      </c>
      <c r="M3" s="45" t="s">
        <v>377</v>
      </c>
      <c r="N3" s="45" t="s">
        <v>377</v>
      </c>
      <c r="O3" s="45" t="s">
        <v>377</v>
      </c>
      <c r="P3" s="45" t="s">
        <v>377</v>
      </c>
      <c r="Q3" s="45" t="s">
        <v>377</v>
      </c>
      <c r="R3" s="45" t="s">
        <v>377</v>
      </c>
      <c r="S3" s="45" t="s">
        <v>75</v>
      </c>
      <c r="T3" s="45" t="s">
        <v>75</v>
      </c>
      <c r="U3" s="45" t="s">
        <v>75</v>
      </c>
      <c r="V3" s="43"/>
    </row>
    <row r="4" spans="1:22" x14ac:dyDescent="0.25">
      <c r="A4" s="32">
        <v>1</v>
      </c>
      <c r="B4" s="19" t="s">
        <v>0</v>
      </c>
      <c r="C4" s="32">
        <v>8.1999999999999993</v>
      </c>
      <c r="D4" s="19">
        <v>7.5</v>
      </c>
      <c r="E4" s="39">
        <v>3373</v>
      </c>
      <c r="F4" s="19">
        <v>1.9</v>
      </c>
      <c r="G4" s="19">
        <v>3.5</v>
      </c>
      <c r="H4" s="19">
        <v>0.24</v>
      </c>
      <c r="I4" s="19">
        <v>0.18</v>
      </c>
      <c r="J4" s="19">
        <v>0.36</v>
      </c>
      <c r="K4" s="14">
        <f>0.29*(84)/100</f>
        <v>0.24359999999999998</v>
      </c>
      <c r="L4" s="27">
        <f>0.42*0.88</f>
        <v>0.36959999999999998</v>
      </c>
      <c r="M4" s="27">
        <f>0.29*0.88</f>
        <v>0.25519999999999998</v>
      </c>
      <c r="N4" s="14">
        <f>0.4*0.89</f>
        <v>0.35600000000000004</v>
      </c>
      <c r="O4" s="27">
        <f>0.07*0.9</f>
        <v>6.3000000000000014E-2</v>
      </c>
      <c r="P4" s="43">
        <v>0.23499999999999999</v>
      </c>
      <c r="Q4" s="43">
        <v>0.93</v>
      </c>
      <c r="R4" s="43">
        <v>0.38219999999999998</v>
      </c>
      <c r="S4" s="19">
        <v>0.01</v>
      </c>
      <c r="T4" s="19">
        <v>0.12</v>
      </c>
      <c r="U4" s="19">
        <v>0.11</v>
      </c>
      <c r="V4" s="18"/>
    </row>
    <row r="5" spans="1:22" x14ac:dyDescent="0.25">
      <c r="A5" s="32">
        <v>2</v>
      </c>
      <c r="B5" s="19" t="s">
        <v>9</v>
      </c>
      <c r="C5" s="32">
        <v>15.2</v>
      </c>
      <c r="D5" s="19">
        <v>44</v>
      </c>
      <c r="E5" s="43">
        <v>2240</v>
      </c>
      <c r="F5" s="19">
        <v>7</v>
      </c>
      <c r="G5" s="19">
        <v>0.5</v>
      </c>
      <c r="H5" s="44">
        <v>2.7</v>
      </c>
      <c r="I5" s="19">
        <v>0.65</v>
      </c>
      <c r="J5" s="19">
        <v>1.32</v>
      </c>
      <c r="K5" s="19">
        <v>1.496</v>
      </c>
      <c r="L5" s="27">
        <v>2.4</v>
      </c>
      <c r="M5" s="27">
        <v>2.5</v>
      </c>
      <c r="N5" s="14">
        <v>3.4</v>
      </c>
      <c r="O5" s="27">
        <v>0.6</v>
      </c>
      <c r="P5" s="43">
        <v>1.1000000000000001</v>
      </c>
      <c r="Q5" s="43">
        <v>3.4</v>
      </c>
      <c r="R5" s="43">
        <v>2.2000000000000002</v>
      </c>
      <c r="S5" s="19">
        <v>0.25</v>
      </c>
      <c r="T5" s="19">
        <v>0.2</v>
      </c>
      <c r="U5" s="19">
        <v>0.27429999999999999</v>
      </c>
      <c r="V5" s="43"/>
    </row>
    <row r="6" spans="1:22" x14ac:dyDescent="0.25">
      <c r="A6" s="32">
        <v>3</v>
      </c>
      <c r="B6" s="19" t="s">
        <v>11</v>
      </c>
      <c r="C6" s="32">
        <v>17.5</v>
      </c>
      <c r="D6" s="19">
        <v>38</v>
      </c>
      <c r="E6" s="43">
        <v>3350</v>
      </c>
      <c r="F6" s="19">
        <v>5</v>
      </c>
      <c r="G6" s="19">
        <v>18</v>
      </c>
      <c r="H6" s="19">
        <v>2.4</v>
      </c>
      <c r="I6" s="19">
        <v>0.54</v>
      </c>
      <c r="J6" s="19">
        <v>1.0900000000000001</v>
      </c>
      <c r="K6" s="19">
        <v>1.4871999999999999</v>
      </c>
      <c r="L6" s="27">
        <v>2.02</v>
      </c>
      <c r="M6" s="27">
        <v>2.1800000000000002</v>
      </c>
      <c r="N6" s="14">
        <v>2.8</v>
      </c>
      <c r="O6" s="27">
        <v>0.52</v>
      </c>
      <c r="P6" s="43">
        <v>1.01</v>
      </c>
      <c r="Q6" s="43">
        <v>2.8</v>
      </c>
      <c r="R6" s="43">
        <v>2.1</v>
      </c>
      <c r="S6" s="19">
        <v>0.25</v>
      </c>
      <c r="T6" s="19">
        <v>0.2</v>
      </c>
      <c r="U6" s="19">
        <v>0.24199999999999999</v>
      </c>
      <c r="V6" s="43"/>
    </row>
    <row r="7" spans="1:22" x14ac:dyDescent="0.25">
      <c r="A7" s="32">
        <v>4</v>
      </c>
      <c r="B7" s="44" t="s">
        <v>688</v>
      </c>
      <c r="C7" s="44">
        <v>75</v>
      </c>
      <c r="D7" s="19">
        <v>71.3</v>
      </c>
      <c r="E7" s="44">
        <v>3190</v>
      </c>
      <c r="F7" s="19">
        <v>1</v>
      </c>
      <c r="G7" s="19">
        <v>10</v>
      </c>
      <c r="H7" s="44">
        <v>7.7</v>
      </c>
      <c r="I7" s="44">
        <v>2.8</v>
      </c>
      <c r="J7" s="19">
        <v>3.7</v>
      </c>
      <c r="K7" s="19">
        <v>2.09</v>
      </c>
      <c r="L7" s="27">
        <v>3.4</v>
      </c>
      <c r="M7" s="27">
        <v>3</v>
      </c>
      <c r="N7" s="14">
        <v>3.38</v>
      </c>
      <c r="O7" s="27">
        <v>0.75</v>
      </c>
      <c r="P7" s="43">
        <v>1.5</v>
      </c>
      <c r="Q7" s="43">
        <v>5</v>
      </c>
      <c r="R7" s="43">
        <v>2.39</v>
      </c>
      <c r="S7" s="44">
        <v>2</v>
      </c>
      <c r="T7" s="44">
        <v>1</v>
      </c>
      <c r="U7" s="19">
        <v>0.51</v>
      </c>
      <c r="V7" s="28"/>
    </row>
    <row r="8" spans="1:22" x14ac:dyDescent="0.25">
      <c r="A8" s="32">
        <v>5</v>
      </c>
      <c r="B8" s="19" t="s">
        <v>103</v>
      </c>
      <c r="C8" s="32">
        <v>40</v>
      </c>
      <c r="D8" s="19">
        <v>0</v>
      </c>
      <c r="E8" s="43">
        <v>8800</v>
      </c>
      <c r="F8" s="19"/>
      <c r="G8" s="19">
        <v>99</v>
      </c>
      <c r="H8" s="19"/>
      <c r="I8" s="19"/>
      <c r="J8" s="19"/>
      <c r="K8" s="19"/>
      <c r="N8" s="14"/>
      <c r="P8" s="43"/>
      <c r="Q8" s="43"/>
      <c r="R8" s="43"/>
      <c r="U8" s="19"/>
      <c r="V8" s="43"/>
    </row>
    <row r="9" spans="1:22" x14ac:dyDescent="0.25">
      <c r="A9" s="32">
        <v>6</v>
      </c>
      <c r="B9" s="19" t="s">
        <v>923</v>
      </c>
      <c r="C9" s="32">
        <v>20</v>
      </c>
      <c r="D9" s="19">
        <v>7</v>
      </c>
      <c r="E9" s="43">
        <v>1270</v>
      </c>
      <c r="F9" s="19"/>
      <c r="G9" s="19"/>
      <c r="H9" s="19"/>
      <c r="I9" s="19"/>
      <c r="J9" s="19"/>
      <c r="K9" s="19"/>
      <c r="N9" s="14"/>
      <c r="P9" s="43"/>
      <c r="Q9" s="43"/>
      <c r="R9" s="43"/>
      <c r="S9" s="19">
        <v>0.06</v>
      </c>
      <c r="T9" s="19">
        <v>0.26</v>
      </c>
      <c r="U9" s="19"/>
      <c r="V9" s="43"/>
    </row>
    <row r="10" spans="1:22" x14ac:dyDescent="0.25">
      <c r="A10" s="33">
        <v>7</v>
      </c>
      <c r="B10" s="27" t="s">
        <v>932</v>
      </c>
      <c r="C10" s="33">
        <v>26</v>
      </c>
      <c r="E10" s="43"/>
      <c r="S10" s="27">
        <v>16</v>
      </c>
      <c r="T10" s="27">
        <v>21</v>
      </c>
    </row>
    <row r="11" spans="1:22" x14ac:dyDescent="0.25">
      <c r="A11" s="33">
        <v>8</v>
      </c>
      <c r="B11" s="27" t="s">
        <v>933</v>
      </c>
      <c r="C11" s="33">
        <v>5.2</v>
      </c>
      <c r="E11" s="43"/>
      <c r="S11" s="27">
        <v>38</v>
      </c>
    </row>
    <row r="12" spans="1:22" x14ac:dyDescent="0.25">
      <c r="A12" s="33">
        <v>9</v>
      </c>
      <c r="B12" s="27" t="s">
        <v>934</v>
      </c>
      <c r="C12" s="33">
        <v>100</v>
      </c>
      <c r="E12" s="43"/>
    </row>
    <row r="13" spans="1:22" x14ac:dyDescent="0.25">
      <c r="A13" s="33">
        <v>10</v>
      </c>
      <c r="B13" s="27" t="s">
        <v>935</v>
      </c>
      <c r="C13" s="33">
        <v>30</v>
      </c>
      <c r="E13" s="43"/>
    </row>
    <row r="14" spans="1:22" x14ac:dyDescent="0.25">
      <c r="A14" s="33">
        <v>11</v>
      </c>
      <c r="B14" s="27" t="s">
        <v>369</v>
      </c>
      <c r="C14" s="33">
        <v>5</v>
      </c>
      <c r="E14" s="43"/>
    </row>
    <row r="15" spans="1:22" x14ac:dyDescent="0.25">
      <c r="A15" s="33">
        <v>12</v>
      </c>
      <c r="B15" s="27" t="s">
        <v>386</v>
      </c>
      <c r="C15" s="33">
        <v>300</v>
      </c>
      <c r="E15" s="43"/>
    </row>
    <row r="16" spans="1:22" x14ac:dyDescent="0.25">
      <c r="A16" s="33">
        <v>13</v>
      </c>
      <c r="B16" s="27" t="s">
        <v>385</v>
      </c>
      <c r="C16" s="33">
        <v>80</v>
      </c>
      <c r="E16" s="43"/>
    </row>
    <row r="17" spans="1:21" x14ac:dyDescent="0.25">
      <c r="E17" s="43"/>
    </row>
    <row r="18" spans="1:21" x14ac:dyDescent="0.25">
      <c r="B18" s="27" t="s">
        <v>922</v>
      </c>
      <c r="C18" s="33" t="s">
        <v>372</v>
      </c>
      <c r="D18" s="27" t="s">
        <v>381</v>
      </c>
      <c r="E18" s="27" t="s">
        <v>301</v>
      </c>
      <c r="F18" s="27" t="s">
        <v>379</v>
      </c>
      <c r="J18" s="27" t="s">
        <v>307</v>
      </c>
      <c r="K18" s="27" t="s">
        <v>309</v>
      </c>
    </row>
    <row r="19" spans="1:21" x14ac:dyDescent="0.25">
      <c r="C19" s="33" t="s">
        <v>75</v>
      </c>
      <c r="D19" s="27" t="s">
        <v>382</v>
      </c>
      <c r="E19" s="27" t="s">
        <v>75</v>
      </c>
      <c r="F19" s="27" t="s">
        <v>77</v>
      </c>
      <c r="J19" s="27" t="s">
        <v>75</v>
      </c>
      <c r="K19" s="27" t="s">
        <v>75</v>
      </c>
    </row>
    <row r="20" spans="1:21" ht="17.25" thickBot="1" x14ac:dyDescent="0.3">
      <c r="A20" s="33" t="s">
        <v>384</v>
      </c>
    </row>
    <row r="21" spans="1:21" ht="17.25" thickBot="1" x14ac:dyDescent="0.3">
      <c r="A21" s="33">
        <v>1</v>
      </c>
      <c r="B21" s="27" t="str">
        <f>VLOOKUP($A21,$A$2:$U$16,B$1,FALSE)</f>
        <v>黃玉米</v>
      </c>
      <c r="C21" s="41">
        <v>50.446210398940117</v>
      </c>
      <c r="D21" s="20">
        <v>8.1999999999999993</v>
      </c>
      <c r="E21" s="20">
        <v>7.5</v>
      </c>
      <c r="F21" s="29">
        <v>3373</v>
      </c>
      <c r="J21" s="27">
        <f>VLOOKUP($A21,$A$2:$U$9,S$1,FALSE)</f>
        <v>0.01</v>
      </c>
      <c r="K21" s="27">
        <f>VLOOKUP($A21,$A$2:$U$9,T$1,FALSE)</f>
        <v>0.12</v>
      </c>
    </row>
    <row r="22" spans="1:21" ht="17.25" thickBot="1" x14ac:dyDescent="0.3">
      <c r="A22" s="33">
        <v>2</v>
      </c>
      <c r="B22" s="27" t="str">
        <f t="shared" ref="B22:B33" si="0">VLOOKUP($A22,$A$2:$U$16,B$1,FALSE)</f>
        <v>大豆粕</v>
      </c>
      <c r="C22" s="41">
        <v>3.8685217630118549</v>
      </c>
      <c r="D22" s="20">
        <v>15.2</v>
      </c>
      <c r="E22" s="29">
        <v>44</v>
      </c>
      <c r="F22" s="29">
        <v>2240</v>
      </c>
      <c r="J22" s="27">
        <f>VLOOKUP($A22,$A$2:$U$9,S$1,FALSE)</f>
        <v>0.25</v>
      </c>
      <c r="K22" s="27">
        <f>VLOOKUP($A22,$A$2:$U$9,T$1,FALSE)</f>
        <v>0.2</v>
      </c>
      <c r="N22" s="42"/>
    </row>
    <row r="23" spans="1:21" ht="17.25" thickBot="1" x14ac:dyDescent="0.3">
      <c r="A23" s="33">
        <v>3</v>
      </c>
      <c r="B23" s="27" t="str">
        <f t="shared" si="0"/>
        <v>全脂豆粉</v>
      </c>
      <c r="C23" s="41">
        <v>42.143117485142824</v>
      </c>
      <c r="D23" s="20">
        <v>17.5</v>
      </c>
      <c r="E23" s="29">
        <v>38</v>
      </c>
      <c r="F23" s="29">
        <v>3350</v>
      </c>
      <c r="J23" s="27">
        <f>VLOOKUP($A23,$A$2:$U$9,S$1,FALSE)</f>
        <v>0.25</v>
      </c>
      <c r="K23" s="27">
        <f>VLOOKUP($A23,$A$2:$U$9,T$1,FALSE)</f>
        <v>0.2</v>
      </c>
      <c r="N23" s="42"/>
    </row>
    <row r="24" spans="1:21" ht="17.25" thickBot="1" x14ac:dyDescent="0.3">
      <c r="A24" s="33">
        <v>4</v>
      </c>
      <c r="B24" s="27" t="str">
        <f t="shared" si="0"/>
        <v>魚粉，鯡魚，大西洋</v>
      </c>
      <c r="C24" s="64">
        <v>0</v>
      </c>
      <c r="D24" s="44">
        <v>75</v>
      </c>
      <c r="E24" s="19">
        <v>71.3</v>
      </c>
      <c r="F24" s="44">
        <v>3190</v>
      </c>
      <c r="J24" s="44">
        <v>2</v>
      </c>
      <c r="K24" s="44">
        <v>1</v>
      </c>
      <c r="N24" s="42"/>
    </row>
    <row r="25" spans="1:21" ht="17.25" thickBot="1" x14ac:dyDescent="0.3">
      <c r="A25" s="33">
        <v>5</v>
      </c>
      <c r="B25" s="27" t="str">
        <f t="shared" si="0"/>
        <v>大豆油(植物油)</v>
      </c>
      <c r="C25" s="40">
        <v>0</v>
      </c>
      <c r="D25" s="29">
        <f>VLOOKUP($A25,$A$2:$U$9,C$1,FALSE)</f>
        <v>40</v>
      </c>
      <c r="E25" s="29">
        <f>VLOOKUP($A25,$A$2:$U$9,D$1,FALSE)</f>
        <v>0</v>
      </c>
      <c r="F25" s="29">
        <f>VLOOKUP($A25,$A$2:$U$9,E$1,FALSE)</f>
        <v>8800</v>
      </c>
      <c r="J25" s="27">
        <f>VLOOKUP($A25,$A$2:$U$9,S$1,FALSE)</f>
        <v>0</v>
      </c>
      <c r="K25" s="27">
        <f>VLOOKUP($A25,$A$2:$U$9,T$1,FALSE)</f>
        <v>0</v>
      </c>
    </row>
    <row r="26" spans="1:21" ht="17.25" thickBot="1" x14ac:dyDescent="0.3">
      <c r="A26" s="33">
        <v>6</v>
      </c>
      <c r="B26" s="27" t="str">
        <f t="shared" si="0"/>
        <v>廢棄香菇菇包</v>
      </c>
      <c r="C26" s="40">
        <v>0</v>
      </c>
      <c r="D26" s="29">
        <v>20</v>
      </c>
      <c r="E26" s="29">
        <f>VLOOKUP($A26,$A$2:$U$9,D$1,FALSE)</f>
        <v>7</v>
      </c>
      <c r="F26" s="29">
        <f>VLOOKUP($A26,$A$2:$U$9,E$1,FALSE)</f>
        <v>1270</v>
      </c>
      <c r="J26" s="27">
        <f>VLOOKUP($A26,$A$2:$U$9,S$1,FALSE)</f>
        <v>0.06</v>
      </c>
      <c r="K26" s="27">
        <f>VLOOKUP($A26,$A$2:$U$9,T$1,FALSE)</f>
        <v>0.26</v>
      </c>
      <c r="P26" s="33"/>
      <c r="Q26" s="33"/>
      <c r="R26" s="33"/>
      <c r="S26" s="33"/>
      <c r="T26" s="33"/>
      <c r="U26" s="33"/>
    </row>
    <row r="27" spans="1:21" ht="17.25" thickBot="1" x14ac:dyDescent="0.3">
      <c r="A27" s="33">
        <v>7</v>
      </c>
      <c r="B27" s="27" t="str">
        <f t="shared" si="0"/>
        <v>磷酸一鈣</v>
      </c>
      <c r="C27" s="40">
        <v>1.3449584239283929</v>
      </c>
      <c r="D27" s="33">
        <v>26</v>
      </c>
      <c r="J27" s="27">
        <v>16</v>
      </c>
      <c r="K27" s="27">
        <v>21</v>
      </c>
    </row>
    <row r="28" spans="1:21" ht="17.25" thickBot="1" x14ac:dyDescent="0.3">
      <c r="A28" s="33">
        <v>8</v>
      </c>
      <c r="B28" s="27" t="str">
        <f t="shared" si="0"/>
        <v>石灰石粉</v>
      </c>
      <c r="C28" s="40">
        <v>1.4071919289767805</v>
      </c>
      <c r="D28" s="33">
        <v>5.2</v>
      </c>
      <c r="J28" s="27">
        <v>38</v>
      </c>
    </row>
    <row r="29" spans="1:21" ht="17.25" thickBot="1" x14ac:dyDescent="0.3">
      <c r="A29" s="33">
        <v>9</v>
      </c>
      <c r="B29" s="27" t="str">
        <f t="shared" si="0"/>
        <v>DL-Met</v>
      </c>
      <c r="C29" s="40">
        <v>0.25</v>
      </c>
      <c r="D29" s="33">
        <v>100</v>
      </c>
    </row>
    <row r="30" spans="1:21" ht="17.25" thickBot="1" x14ac:dyDescent="0.3">
      <c r="A30" s="33">
        <v>10</v>
      </c>
      <c r="B30" s="27" t="str">
        <f t="shared" si="0"/>
        <v>L-Lys</v>
      </c>
      <c r="C30" s="40">
        <v>0.12</v>
      </c>
      <c r="D30" s="33">
        <v>30</v>
      </c>
    </row>
    <row r="31" spans="1:21" ht="17.25" thickBot="1" x14ac:dyDescent="0.3">
      <c r="A31" s="33">
        <v>11</v>
      </c>
      <c r="B31" s="27" t="str">
        <f t="shared" si="0"/>
        <v>食鹽</v>
      </c>
      <c r="C31" s="40">
        <v>0.3</v>
      </c>
      <c r="D31" s="33">
        <v>5</v>
      </c>
    </row>
    <row r="32" spans="1:21" ht="17.25" thickBot="1" x14ac:dyDescent="0.3">
      <c r="A32" s="33">
        <v>12</v>
      </c>
      <c r="B32" s="27" t="str">
        <f t="shared" si="0"/>
        <v>Vitamin</v>
      </c>
      <c r="C32" s="40">
        <v>0.1</v>
      </c>
      <c r="D32" s="33">
        <v>300</v>
      </c>
    </row>
    <row r="33" spans="1:22" ht="17.25" thickBot="1" x14ac:dyDescent="0.3">
      <c r="A33" s="33">
        <v>13</v>
      </c>
      <c r="B33" s="27" t="str">
        <f t="shared" si="0"/>
        <v>Mineral</v>
      </c>
      <c r="C33" s="40">
        <v>0.02</v>
      </c>
      <c r="D33" s="33">
        <v>80</v>
      </c>
    </row>
    <row r="34" spans="1:22" x14ac:dyDescent="0.25">
      <c r="B34" s="27" t="s">
        <v>376</v>
      </c>
      <c r="C34" s="29">
        <f>SUM(C21:C33)</f>
        <v>99.999999999999972</v>
      </c>
      <c r="D34" s="27">
        <f>SUMPRODUCT($C21:$C33,D21:D33)/$C35</f>
        <v>13.139513291119059</v>
      </c>
      <c r="E34" s="27">
        <f>SUMPRODUCT($C21:$C26,E21:E26)/$C35</f>
        <v>21.5</v>
      </c>
      <c r="F34" s="29">
        <f>SUMPRODUCT($C21:$C26,F21:F26)/$C35</f>
        <v>3200</v>
      </c>
      <c r="J34" s="27">
        <f>SUMPRODUCT($C21:$C28,J21:J28)/$C35</f>
        <v>0.87000000000000011</v>
      </c>
      <c r="K34" s="42">
        <f>SUMPRODUCT($C21:$C28,K21:K28)/$C35</f>
        <v>0.435</v>
      </c>
    </row>
    <row r="35" spans="1:22" x14ac:dyDescent="0.25">
      <c r="B35" s="27" t="s">
        <v>375</v>
      </c>
      <c r="C35" s="33">
        <v>100</v>
      </c>
      <c r="E35" s="20">
        <v>21.5</v>
      </c>
      <c r="F35" s="43">
        <v>3200</v>
      </c>
      <c r="J35" s="27">
        <v>0.87</v>
      </c>
      <c r="K35" s="42">
        <v>0.435</v>
      </c>
      <c r="V35" s="43"/>
    </row>
    <row r="38" spans="1:22" x14ac:dyDescent="0.25">
      <c r="D38" s="43" t="s">
        <v>924</v>
      </c>
      <c r="E38" s="43" t="s">
        <v>301</v>
      </c>
      <c r="F38" s="43" t="s">
        <v>303</v>
      </c>
      <c r="G38" s="43"/>
      <c r="H38" s="43"/>
      <c r="I38" s="43"/>
      <c r="J38" s="43" t="s">
        <v>307</v>
      </c>
      <c r="K38" s="43" t="s">
        <v>309</v>
      </c>
    </row>
    <row r="39" spans="1:22" s="44" customFormat="1" x14ac:dyDescent="0.25">
      <c r="B39" s="43" t="s">
        <v>928</v>
      </c>
      <c r="C39" s="43" t="s">
        <v>927</v>
      </c>
      <c r="D39" s="43" t="s">
        <v>925</v>
      </c>
      <c r="E39" s="20">
        <v>23</v>
      </c>
      <c r="F39" s="43">
        <v>3100</v>
      </c>
      <c r="G39" s="27"/>
      <c r="H39" s="27"/>
      <c r="I39" s="27"/>
      <c r="J39" s="27">
        <v>0.96</v>
      </c>
      <c r="K39" s="27">
        <v>0.48</v>
      </c>
    </row>
    <row r="40" spans="1:22" s="44" customFormat="1" ht="16.5" customHeight="1" x14ac:dyDescent="0.25">
      <c r="B40" s="43" t="s">
        <v>928</v>
      </c>
      <c r="C40" s="43" t="s">
        <v>927</v>
      </c>
      <c r="D40" s="43" t="s">
        <v>926</v>
      </c>
      <c r="E40" s="20">
        <v>21.5</v>
      </c>
      <c r="F40" s="43">
        <v>3200</v>
      </c>
      <c r="G40" s="27"/>
      <c r="H40" s="27"/>
      <c r="I40" s="27"/>
      <c r="J40" s="27">
        <v>0.87</v>
      </c>
      <c r="K40" s="27">
        <v>0.435</v>
      </c>
    </row>
    <row r="41" spans="1:22" s="44" customFormat="1" ht="13.5" x14ac:dyDescent="0.25">
      <c r="A41" s="36"/>
      <c r="B41" s="36"/>
    </row>
    <row r="42" spans="1:22" s="44" customFormat="1" ht="13.5" x14ac:dyDescent="0.25">
      <c r="A42" s="36"/>
      <c r="B42" s="36"/>
    </row>
    <row r="43" spans="1:22" s="44" customFormat="1" x14ac:dyDescent="0.25">
      <c r="A43" s="36"/>
      <c r="B43" s="36"/>
      <c r="E43" s="43"/>
    </row>
    <row r="44" spans="1:22" s="44" customFormat="1" x14ac:dyDescent="0.25">
      <c r="A44" s="36"/>
      <c r="B44" s="36"/>
      <c r="E44" s="43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5"/>
  <sheetViews>
    <sheetView zoomScaleNormal="100" workbookViewId="0">
      <selection activeCell="A25" sqref="A25"/>
    </sheetView>
  </sheetViews>
  <sheetFormatPr defaultRowHeight="16.5" x14ac:dyDescent="0.25"/>
  <cols>
    <col min="1" max="1" width="16.25" style="2" bestFit="1" customWidth="1"/>
    <col min="2" max="2" width="10.125" style="2" customWidth="1"/>
    <col min="3" max="3" width="11.875" style="2" bestFit="1" customWidth="1"/>
    <col min="4" max="4" width="11.25" style="2" bestFit="1" customWidth="1"/>
    <col min="5" max="5" width="9.875" style="2" bestFit="1" customWidth="1"/>
    <col min="6" max="6" width="8.125" style="2" bestFit="1" customWidth="1"/>
    <col min="7" max="7" width="15.5" style="2" bestFit="1" customWidth="1"/>
    <col min="8" max="8" width="18.5" style="2" bestFit="1" customWidth="1"/>
    <col min="9" max="9" width="7.625" style="2" bestFit="1" customWidth="1"/>
    <col min="10" max="10" width="23.75" style="2" bestFit="1" customWidth="1"/>
    <col min="11" max="11" width="12.625" style="2" bestFit="1" customWidth="1"/>
    <col min="12" max="12" width="12.25" style="2" bestFit="1" customWidth="1"/>
    <col min="13" max="13" width="9.625" style="2" bestFit="1" customWidth="1"/>
    <col min="14" max="15" width="8.75" style="2" bestFit="1" customWidth="1"/>
    <col min="16" max="16" width="10.125" style="2" bestFit="1" customWidth="1"/>
    <col min="17" max="17" width="14.25" style="2" customWidth="1"/>
    <col min="18" max="18" width="8.75" style="2" customWidth="1"/>
    <col min="19" max="19" width="10" style="2" bestFit="1" customWidth="1"/>
    <col min="20" max="20" width="9" style="2" bestFit="1" customWidth="1"/>
    <col min="21" max="21" width="9.125" style="2" bestFit="1" customWidth="1"/>
    <col min="22" max="22" width="8.125" style="2" bestFit="1" customWidth="1"/>
    <col min="23" max="23" width="10.75" style="2" customWidth="1"/>
    <col min="24" max="24" width="8.875" style="2" bestFit="1" customWidth="1"/>
    <col min="25" max="25" width="7.625" style="2" bestFit="1" customWidth="1"/>
    <col min="26" max="26" width="12.25" style="2" bestFit="1" customWidth="1"/>
    <col min="27" max="27" width="8.25" style="2" bestFit="1" customWidth="1"/>
    <col min="28" max="28" width="8.75" style="2" bestFit="1" customWidth="1"/>
    <col min="29" max="29" width="8.625" style="2" bestFit="1" customWidth="1"/>
    <col min="30" max="30" width="7.375" style="2" bestFit="1" customWidth="1"/>
    <col min="31" max="31" width="9" style="2" bestFit="1" customWidth="1"/>
    <col min="32" max="32" width="14.5" style="2" bestFit="1" customWidth="1"/>
    <col min="33" max="33" width="14.25" style="2" customWidth="1"/>
    <col min="34" max="34" width="8.5" style="2" bestFit="1" customWidth="1"/>
    <col min="35" max="35" width="7.125" style="2" customWidth="1"/>
    <col min="36" max="36" width="10.75" style="2" bestFit="1" customWidth="1"/>
    <col min="37" max="37" width="6" style="2" bestFit="1" customWidth="1"/>
    <col min="38" max="38" width="6.75" style="2" bestFit="1" customWidth="1"/>
    <col min="39" max="39" width="9.25" style="2" bestFit="1" customWidth="1"/>
    <col min="40" max="40" width="7.625" style="2" bestFit="1" customWidth="1"/>
    <col min="41" max="41" width="10.375" style="2" bestFit="1" customWidth="1"/>
    <col min="42" max="42" width="6.875" style="2" bestFit="1" customWidth="1"/>
    <col min="43" max="43" width="10.375" style="2" bestFit="1" customWidth="1"/>
    <col min="44" max="44" width="6" style="2" customWidth="1"/>
    <col min="45" max="45" width="12.5" style="2" customWidth="1"/>
    <col min="46" max="46" width="5.75" style="2" bestFit="1" customWidth="1"/>
    <col min="47" max="47" width="8.25" style="2" bestFit="1" customWidth="1"/>
    <col min="48" max="48" width="7.625" style="2" customWidth="1"/>
    <col min="49" max="49" width="9.25" style="2" customWidth="1"/>
    <col min="50" max="50" width="4" style="2" customWidth="1"/>
    <col min="51" max="51" width="6.125" style="2" bestFit="1" customWidth="1"/>
    <col min="52" max="53" width="4.875" style="2" bestFit="1" customWidth="1"/>
    <col min="54" max="54" width="3.875" style="2" bestFit="1" customWidth="1"/>
    <col min="55" max="58" width="4.875" style="2" bestFit="1" customWidth="1"/>
    <col min="59" max="59" width="2.125" style="2" bestFit="1" customWidth="1"/>
    <col min="60" max="16384" width="9" style="2"/>
  </cols>
  <sheetData>
    <row r="1" spans="1:59" s="3" customFormat="1" x14ac:dyDescent="0.25">
      <c r="A1" s="2" t="s">
        <v>190</v>
      </c>
      <c r="B1" s="2" t="s">
        <v>82</v>
      </c>
      <c r="C1" s="2" t="s">
        <v>98</v>
      </c>
      <c r="D1" s="2" t="s">
        <v>96</v>
      </c>
      <c r="E1" s="2" t="s">
        <v>97</v>
      </c>
      <c r="F1" s="2" t="s">
        <v>47</v>
      </c>
      <c r="G1" s="2" t="s">
        <v>83</v>
      </c>
      <c r="H1" s="2" t="s">
        <v>84</v>
      </c>
      <c r="I1" s="2" t="s">
        <v>48</v>
      </c>
      <c r="J1" s="2" t="s">
        <v>86</v>
      </c>
      <c r="K1" s="2" t="s">
        <v>85</v>
      </c>
      <c r="L1" s="2" t="s">
        <v>87</v>
      </c>
      <c r="M1" s="2" t="s">
        <v>87</v>
      </c>
      <c r="N1" s="2" t="s">
        <v>88</v>
      </c>
      <c r="O1" s="2" t="s">
        <v>88</v>
      </c>
      <c r="P1" s="2" t="s">
        <v>49</v>
      </c>
      <c r="Q1" s="2" t="s">
        <v>50</v>
      </c>
      <c r="R1" s="1" t="s">
        <v>51</v>
      </c>
      <c r="S1" s="2" t="s">
        <v>52</v>
      </c>
      <c r="T1" s="2" t="s">
        <v>53</v>
      </c>
      <c r="U1" s="2" t="s">
        <v>54</v>
      </c>
      <c r="V1" s="2" t="s">
        <v>55</v>
      </c>
      <c r="W1" s="2" t="s">
        <v>56</v>
      </c>
      <c r="X1" s="2" t="s">
        <v>57</v>
      </c>
      <c r="Y1" s="2" t="s">
        <v>58</v>
      </c>
      <c r="Z1" s="2" t="s">
        <v>89</v>
      </c>
      <c r="AA1" s="2" t="s">
        <v>59</v>
      </c>
      <c r="AB1" s="2" t="s">
        <v>90</v>
      </c>
      <c r="AC1" s="2" t="s">
        <v>91</v>
      </c>
      <c r="AD1" s="2" t="s">
        <v>60</v>
      </c>
      <c r="AE1" s="2" t="s">
        <v>92</v>
      </c>
      <c r="AF1" s="2" t="s">
        <v>93</v>
      </c>
      <c r="AG1" s="2" t="s">
        <v>61</v>
      </c>
      <c r="AH1" s="2" t="s">
        <v>94</v>
      </c>
      <c r="AI1" s="2" t="s">
        <v>62</v>
      </c>
      <c r="AJ1" s="2" t="s">
        <v>95</v>
      </c>
      <c r="AK1" s="2" t="s">
        <v>63</v>
      </c>
      <c r="AL1" s="2" t="s">
        <v>64</v>
      </c>
      <c r="AM1" s="2" t="s">
        <v>65</v>
      </c>
      <c r="AN1" s="2" t="s">
        <v>66</v>
      </c>
      <c r="AO1" s="2" t="s">
        <v>67</v>
      </c>
      <c r="AP1" s="2" t="s">
        <v>68</v>
      </c>
      <c r="AQ1" s="2" t="s">
        <v>69</v>
      </c>
      <c r="AR1" s="2" t="s">
        <v>70</v>
      </c>
      <c r="AS1" s="2" t="s">
        <v>71</v>
      </c>
      <c r="AT1" s="2" t="s">
        <v>72</v>
      </c>
      <c r="AU1" s="2" t="s">
        <v>73</v>
      </c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x14ac:dyDescent="0.25">
      <c r="A2" s="2" t="s">
        <v>188</v>
      </c>
      <c r="B2" s="2" t="s">
        <v>75</v>
      </c>
      <c r="C2" s="2" t="s">
        <v>75</v>
      </c>
      <c r="D2" s="2" t="s">
        <v>75</v>
      </c>
      <c r="E2" s="2" t="s">
        <v>75</v>
      </c>
      <c r="F2" s="2" t="s">
        <v>75</v>
      </c>
      <c r="G2" s="2" t="s">
        <v>75</v>
      </c>
      <c r="H2" s="2" t="s">
        <v>75</v>
      </c>
      <c r="I2" s="2" t="s">
        <v>75</v>
      </c>
      <c r="J2" s="2" t="s">
        <v>75</v>
      </c>
      <c r="K2" s="2" t="s">
        <v>75</v>
      </c>
      <c r="L2" s="2" t="s">
        <v>76</v>
      </c>
      <c r="M2" s="2" t="s">
        <v>77</v>
      </c>
      <c r="N2" s="2" t="s">
        <v>76</v>
      </c>
      <c r="O2" s="2" t="s">
        <v>77</v>
      </c>
      <c r="P2" s="2" t="s">
        <v>75</v>
      </c>
      <c r="Q2" s="2" t="s">
        <v>75</v>
      </c>
      <c r="R2" s="1" t="s">
        <v>75</v>
      </c>
      <c r="S2" s="2" t="s">
        <v>75</v>
      </c>
      <c r="T2" s="2" t="s">
        <v>75</v>
      </c>
      <c r="U2" s="2" t="s">
        <v>75</v>
      </c>
      <c r="V2" s="2" t="s">
        <v>75</v>
      </c>
      <c r="W2" s="2" t="s">
        <v>75</v>
      </c>
      <c r="X2" s="2" t="s">
        <v>75</v>
      </c>
      <c r="Y2" s="2" t="s">
        <v>75</v>
      </c>
      <c r="Z2" s="2" t="s">
        <v>75</v>
      </c>
      <c r="AA2" s="2" t="s">
        <v>78</v>
      </c>
      <c r="AB2" s="2" t="s">
        <v>79</v>
      </c>
      <c r="AC2" s="2" t="s">
        <v>78</v>
      </c>
      <c r="AD2" s="2" t="s">
        <v>78</v>
      </c>
      <c r="AE2" s="2" t="s">
        <v>78</v>
      </c>
      <c r="AF2" s="2" t="s">
        <v>78</v>
      </c>
      <c r="AG2" s="2" t="s">
        <v>80</v>
      </c>
      <c r="AH2" s="2" t="s">
        <v>80</v>
      </c>
      <c r="AI2" s="2" t="s">
        <v>78</v>
      </c>
      <c r="AJ2" s="2" t="s">
        <v>80</v>
      </c>
      <c r="AK2" s="2" t="s">
        <v>78</v>
      </c>
      <c r="AL2" s="2" t="s">
        <v>75</v>
      </c>
      <c r="AM2" s="2" t="s">
        <v>75</v>
      </c>
      <c r="AN2" s="2" t="s">
        <v>75</v>
      </c>
      <c r="AO2" s="2" t="s">
        <v>75</v>
      </c>
      <c r="AP2" s="2" t="s">
        <v>75</v>
      </c>
      <c r="AQ2" s="2" t="s">
        <v>81</v>
      </c>
      <c r="AR2" s="2" t="s">
        <v>81</v>
      </c>
      <c r="AS2" s="2" t="s">
        <v>81</v>
      </c>
      <c r="AT2" s="2" t="s">
        <v>81</v>
      </c>
      <c r="AU2" s="2" t="s">
        <v>81</v>
      </c>
    </row>
    <row r="3" spans="1:59" x14ac:dyDescent="0.25">
      <c r="A3" s="2" t="s">
        <v>0</v>
      </c>
      <c r="B3" s="2">
        <v>86</v>
      </c>
      <c r="C3" s="2">
        <v>7.5</v>
      </c>
      <c r="D3" s="2">
        <v>3.5</v>
      </c>
      <c r="E3" s="2">
        <v>1.9</v>
      </c>
      <c r="F3" s="2">
        <v>0.01</v>
      </c>
      <c r="G3" s="2">
        <v>0.28000000000000003</v>
      </c>
      <c r="H3" s="2">
        <v>0.12</v>
      </c>
      <c r="I3" s="2">
        <v>1.1000000000000001</v>
      </c>
      <c r="J3" s="2">
        <v>5.8</v>
      </c>
      <c r="K3" s="2">
        <v>80</v>
      </c>
      <c r="L3" s="2">
        <v>1530</v>
      </c>
      <c r="M3" s="2">
        <v>3373</v>
      </c>
      <c r="N3" s="2">
        <v>1520</v>
      </c>
      <c r="O3" s="1">
        <v>3350</v>
      </c>
      <c r="P3" s="2" t="s">
        <v>106</v>
      </c>
      <c r="Q3" s="2" t="s">
        <v>109</v>
      </c>
      <c r="R3" s="2" t="s">
        <v>112</v>
      </c>
      <c r="S3" s="2" t="s">
        <v>115</v>
      </c>
      <c r="T3" s="2" t="s">
        <v>116</v>
      </c>
      <c r="U3" s="2" t="s">
        <v>119</v>
      </c>
      <c r="V3" s="2" t="s">
        <v>122</v>
      </c>
      <c r="W3" s="2" t="s">
        <v>125</v>
      </c>
      <c r="X3" s="2" t="s">
        <v>128</v>
      </c>
      <c r="Y3" s="2" t="s">
        <v>131</v>
      </c>
      <c r="Z3" s="2" t="s">
        <v>134</v>
      </c>
      <c r="AA3" s="2">
        <v>2</v>
      </c>
      <c r="AB3" s="2">
        <v>1.7</v>
      </c>
      <c r="AC3" s="2">
        <v>22</v>
      </c>
      <c r="AD3" s="2">
        <v>2.6</v>
      </c>
      <c r="AE3" s="2">
        <v>1.1000000000000001</v>
      </c>
      <c r="AF3" s="2">
        <v>3.9</v>
      </c>
      <c r="AG3" s="2">
        <v>80</v>
      </c>
      <c r="AH3" s="2">
        <v>116</v>
      </c>
      <c r="AI3" s="2">
        <v>1100</v>
      </c>
      <c r="AJ3" s="2" t="s">
        <v>74</v>
      </c>
      <c r="AK3" s="2">
        <v>21.5</v>
      </c>
      <c r="AL3" s="2">
        <v>0.02</v>
      </c>
      <c r="AM3" s="2">
        <v>0.33</v>
      </c>
      <c r="AN3" s="2">
        <v>0.04</v>
      </c>
      <c r="AO3" s="2">
        <v>0.08</v>
      </c>
      <c r="AP3" s="2">
        <v>0.08</v>
      </c>
      <c r="AQ3" s="2">
        <v>4.5</v>
      </c>
      <c r="AR3" s="2">
        <v>25</v>
      </c>
      <c r="AS3" s="2">
        <v>2.9</v>
      </c>
      <c r="AT3" s="2">
        <v>20</v>
      </c>
      <c r="AU3" s="2">
        <v>0.08</v>
      </c>
    </row>
    <row r="4" spans="1:59" x14ac:dyDescent="0.25">
      <c r="A4" s="2" t="s">
        <v>1</v>
      </c>
      <c r="B4" s="2">
        <v>89</v>
      </c>
      <c r="C4" s="2">
        <v>11.5</v>
      </c>
      <c r="D4" s="2">
        <v>1.9</v>
      </c>
      <c r="E4" s="2">
        <v>5</v>
      </c>
      <c r="F4" s="2">
        <v>0.08</v>
      </c>
      <c r="G4" s="2">
        <v>0.42</v>
      </c>
      <c r="H4" s="2">
        <v>0.15</v>
      </c>
      <c r="I4" s="2">
        <v>2.5</v>
      </c>
      <c r="J4" s="2">
        <v>8.6</v>
      </c>
      <c r="K4" s="2">
        <v>74</v>
      </c>
      <c r="L4" s="2">
        <v>1250</v>
      </c>
      <c r="M4" s="2">
        <v>2750</v>
      </c>
      <c r="N4" s="2">
        <v>1305</v>
      </c>
      <c r="O4" s="2">
        <v>2870</v>
      </c>
      <c r="P4" s="2" t="s">
        <v>107</v>
      </c>
      <c r="Q4" s="2" t="s">
        <v>110</v>
      </c>
      <c r="R4" s="2" t="s">
        <v>113</v>
      </c>
      <c r="S4" s="2">
        <v>0.17</v>
      </c>
      <c r="T4" s="2" t="s">
        <v>117</v>
      </c>
      <c r="U4" s="2" t="s">
        <v>120</v>
      </c>
      <c r="V4" s="2" t="s">
        <v>123</v>
      </c>
      <c r="W4" s="2" t="s">
        <v>126</v>
      </c>
      <c r="X4" s="2" t="s">
        <v>129</v>
      </c>
      <c r="Y4" s="2" t="s">
        <v>132</v>
      </c>
      <c r="Z4" s="2" t="s">
        <v>135</v>
      </c>
      <c r="AA4" s="2" t="s">
        <v>74</v>
      </c>
      <c r="AB4" s="2" t="s">
        <v>74</v>
      </c>
      <c r="AC4" s="2">
        <v>36</v>
      </c>
      <c r="AD4" s="2">
        <v>5</v>
      </c>
      <c r="AE4" s="2">
        <v>2</v>
      </c>
      <c r="AF4" s="2">
        <v>6.4</v>
      </c>
      <c r="AG4" s="2">
        <v>200</v>
      </c>
      <c r="AH4" s="2">
        <v>397</v>
      </c>
      <c r="AI4" s="2">
        <v>1027</v>
      </c>
      <c r="AJ4" s="2" t="s">
        <v>74</v>
      </c>
      <c r="AK4" s="2">
        <v>57.2</v>
      </c>
      <c r="AL4" s="2">
        <v>0.03</v>
      </c>
      <c r="AM4" s="2">
        <v>0.56000000000000005</v>
      </c>
      <c r="AN4" s="2">
        <v>0.14000000000000001</v>
      </c>
      <c r="AO4" s="2">
        <v>0.12</v>
      </c>
      <c r="AP4" s="2">
        <v>0.15</v>
      </c>
      <c r="AQ4" s="2">
        <v>16</v>
      </c>
      <c r="AR4" s="2">
        <v>80</v>
      </c>
      <c r="AS4" s="2">
        <v>8</v>
      </c>
      <c r="AT4" s="2">
        <v>30</v>
      </c>
      <c r="AU4" s="2">
        <v>0.2</v>
      </c>
    </row>
    <row r="5" spans="1:59" x14ac:dyDescent="0.25">
      <c r="A5" s="2" t="s">
        <v>2</v>
      </c>
      <c r="B5" s="2">
        <v>91</v>
      </c>
      <c r="C5" s="2">
        <v>13.5</v>
      </c>
      <c r="D5" s="2">
        <v>5.9</v>
      </c>
      <c r="E5" s="2">
        <v>13</v>
      </c>
      <c r="F5" s="2">
        <v>0.1</v>
      </c>
      <c r="G5" s="2">
        <v>1.7</v>
      </c>
      <c r="H5" s="2">
        <v>0.24</v>
      </c>
      <c r="I5" s="2">
        <v>11</v>
      </c>
      <c r="J5" s="2">
        <v>9.9</v>
      </c>
      <c r="K5" s="2">
        <v>60</v>
      </c>
      <c r="L5" s="2">
        <v>925</v>
      </c>
      <c r="M5" s="2">
        <v>2040</v>
      </c>
      <c r="N5" s="2">
        <v>1000</v>
      </c>
      <c r="O5" s="2">
        <v>2200</v>
      </c>
      <c r="P5" s="2" t="s">
        <v>108</v>
      </c>
      <c r="Q5" s="1" t="s">
        <v>111</v>
      </c>
      <c r="R5" s="2" t="s">
        <v>114</v>
      </c>
      <c r="S5" s="2">
        <v>0.1</v>
      </c>
      <c r="T5" s="2" t="s">
        <v>118</v>
      </c>
      <c r="U5" s="2" t="s">
        <v>121</v>
      </c>
      <c r="V5" s="2" t="s">
        <v>124</v>
      </c>
      <c r="W5" s="2" t="s">
        <v>127</v>
      </c>
      <c r="X5" s="2" t="s">
        <v>130</v>
      </c>
      <c r="Y5" s="2" t="s">
        <v>133</v>
      </c>
      <c r="Z5" s="2" t="s">
        <v>136</v>
      </c>
      <c r="AA5" s="2" t="s">
        <v>74</v>
      </c>
      <c r="AB5" s="2" t="s">
        <v>74</v>
      </c>
      <c r="AC5" s="2">
        <v>60.8</v>
      </c>
      <c r="AD5" s="2">
        <v>22.8</v>
      </c>
      <c r="AE5" s="2">
        <v>3</v>
      </c>
      <c r="AF5" s="2">
        <v>22</v>
      </c>
      <c r="AG5" s="2">
        <v>4200</v>
      </c>
      <c r="AH5" s="2" t="s">
        <v>105</v>
      </c>
      <c r="AI5" s="2">
        <v>1390</v>
      </c>
      <c r="AJ5" s="2" t="s">
        <v>74</v>
      </c>
      <c r="AK5" s="2">
        <v>303</v>
      </c>
      <c r="AL5" s="2">
        <v>0.1</v>
      </c>
      <c r="AM5" s="2">
        <v>1.35</v>
      </c>
      <c r="AN5" s="2">
        <v>7.0000000000000007E-2</v>
      </c>
      <c r="AO5" s="2">
        <v>1</v>
      </c>
      <c r="AP5" s="2">
        <v>0.18</v>
      </c>
      <c r="AQ5" s="2">
        <v>200</v>
      </c>
      <c r="AR5" s="2">
        <v>190</v>
      </c>
      <c r="AS5" s="2">
        <v>13</v>
      </c>
      <c r="AT5" s="2">
        <v>30</v>
      </c>
      <c r="AU5" s="2">
        <v>0.4</v>
      </c>
    </row>
    <row r="6" spans="1:59" x14ac:dyDescent="0.25">
      <c r="A6" s="2" t="s">
        <v>3</v>
      </c>
      <c r="B6" s="2">
        <v>89</v>
      </c>
      <c r="C6" s="2">
        <v>14.8</v>
      </c>
      <c r="D6" s="2">
        <v>4</v>
      </c>
      <c r="E6" s="2">
        <v>10</v>
      </c>
      <c r="F6" s="2">
        <v>0.14000000000000001</v>
      </c>
      <c r="G6" s="2">
        <v>1.17</v>
      </c>
      <c r="H6" s="2">
        <v>0.38</v>
      </c>
      <c r="I6" s="2">
        <v>6.4</v>
      </c>
      <c r="J6" s="2">
        <v>11.5</v>
      </c>
      <c r="K6" s="2">
        <v>62</v>
      </c>
      <c r="L6" s="2">
        <v>590</v>
      </c>
      <c r="M6" s="2">
        <v>1300</v>
      </c>
      <c r="N6" s="2">
        <v>1055</v>
      </c>
      <c r="O6" s="2">
        <v>2320</v>
      </c>
      <c r="P6" s="2">
        <v>0.2</v>
      </c>
      <c r="Q6" s="2">
        <v>0.3</v>
      </c>
      <c r="R6" s="1">
        <v>0.6</v>
      </c>
      <c r="S6" s="2">
        <v>0.3</v>
      </c>
      <c r="T6" s="2">
        <v>0.48</v>
      </c>
      <c r="U6" s="2">
        <v>0.6</v>
      </c>
      <c r="V6" s="2">
        <v>0.3</v>
      </c>
      <c r="W6" s="2">
        <v>0.7</v>
      </c>
      <c r="X6" s="2">
        <v>0.9</v>
      </c>
      <c r="Y6" s="2">
        <v>1.07</v>
      </c>
      <c r="Z6" s="2">
        <v>0.56999999999999995</v>
      </c>
      <c r="AA6" s="2" t="s">
        <v>74</v>
      </c>
      <c r="AB6" s="2" t="s">
        <v>74</v>
      </c>
      <c r="AC6" s="2">
        <v>10.8</v>
      </c>
      <c r="AD6" s="2">
        <v>6</v>
      </c>
      <c r="AE6" s="2">
        <v>3.1</v>
      </c>
      <c r="AF6" s="2">
        <v>29</v>
      </c>
      <c r="AG6" s="2">
        <v>110</v>
      </c>
      <c r="AH6" s="2">
        <v>1800</v>
      </c>
      <c r="AI6" s="2">
        <v>980</v>
      </c>
      <c r="AJ6" s="2" t="s">
        <v>74</v>
      </c>
      <c r="AK6" s="2">
        <v>321</v>
      </c>
      <c r="AL6" s="2">
        <v>0.06</v>
      </c>
      <c r="AM6" s="2">
        <v>1.2</v>
      </c>
      <c r="AN6" s="2">
        <v>0.14000000000000001</v>
      </c>
      <c r="AO6" s="2">
        <v>0.55000000000000004</v>
      </c>
      <c r="AP6" s="2">
        <v>0.22</v>
      </c>
      <c r="AQ6" s="2">
        <v>100</v>
      </c>
      <c r="AR6" s="2">
        <v>170</v>
      </c>
      <c r="AS6" s="2">
        <v>10.3</v>
      </c>
      <c r="AT6" s="2">
        <v>95</v>
      </c>
      <c r="AU6" s="2">
        <v>0.8</v>
      </c>
    </row>
    <row r="7" spans="1:59" x14ac:dyDescent="0.25">
      <c r="A7" s="2" t="s">
        <v>4</v>
      </c>
      <c r="B7" s="2">
        <v>89</v>
      </c>
      <c r="C7" s="2">
        <v>15</v>
      </c>
      <c r="D7" s="2">
        <v>3.6</v>
      </c>
      <c r="E7" s="2">
        <v>8.5</v>
      </c>
      <c r="F7" s="2">
        <v>0.15</v>
      </c>
      <c r="G7" s="2">
        <v>1.17</v>
      </c>
      <c r="H7" s="2">
        <v>0.45</v>
      </c>
      <c r="I7" s="2">
        <v>5.5</v>
      </c>
      <c r="J7" s="2">
        <v>12.2</v>
      </c>
      <c r="K7" s="2">
        <v>81</v>
      </c>
      <c r="L7" s="2">
        <v>950</v>
      </c>
      <c r="M7" s="2">
        <v>2090</v>
      </c>
      <c r="N7" s="2">
        <v>1000</v>
      </c>
      <c r="O7" s="2">
        <v>2200</v>
      </c>
      <c r="P7" s="2">
        <v>0.12</v>
      </c>
      <c r="Q7" s="2">
        <v>0.19</v>
      </c>
      <c r="R7" s="1">
        <v>0.7</v>
      </c>
      <c r="S7" s="2">
        <v>0.2</v>
      </c>
      <c r="T7" s="2">
        <v>0.5</v>
      </c>
      <c r="U7" s="2">
        <v>0.7</v>
      </c>
      <c r="V7" s="2">
        <v>0.4</v>
      </c>
      <c r="W7" s="2">
        <v>0.8</v>
      </c>
      <c r="X7" s="2">
        <v>1.1000000000000001</v>
      </c>
      <c r="Y7" s="2">
        <v>1</v>
      </c>
      <c r="Z7" s="2">
        <v>0.5</v>
      </c>
      <c r="AA7" s="2">
        <v>3</v>
      </c>
      <c r="AB7" s="2">
        <v>5.2</v>
      </c>
      <c r="AC7" s="2">
        <v>57.6</v>
      </c>
      <c r="AD7" s="2">
        <v>18.899999999999999</v>
      </c>
      <c r="AE7" s="2">
        <v>1.5</v>
      </c>
      <c r="AF7" s="2">
        <v>13.6</v>
      </c>
      <c r="AG7" s="2">
        <v>110</v>
      </c>
      <c r="AH7" s="2">
        <v>560</v>
      </c>
      <c r="AI7" s="2">
        <v>1100</v>
      </c>
      <c r="AJ7" s="2" t="s">
        <v>74</v>
      </c>
      <c r="AK7" s="2">
        <v>52.6</v>
      </c>
      <c r="AL7" s="2">
        <v>0.06</v>
      </c>
      <c r="AM7" s="2">
        <v>0.6</v>
      </c>
      <c r="AN7" s="2">
        <v>7.0000000000000007E-2</v>
      </c>
      <c r="AO7" s="2">
        <v>0.28999999999999998</v>
      </c>
      <c r="AP7" s="2">
        <v>0.16</v>
      </c>
      <c r="AQ7" s="2">
        <v>100</v>
      </c>
      <c r="AR7" s="2">
        <v>60</v>
      </c>
      <c r="AS7" s="2">
        <v>8</v>
      </c>
      <c r="AT7" s="2">
        <v>100</v>
      </c>
      <c r="AU7" s="2">
        <v>0.6</v>
      </c>
    </row>
    <row r="8" spans="1:59" x14ac:dyDescent="0.25">
      <c r="A8" s="2" t="s">
        <v>103</v>
      </c>
      <c r="B8" s="2">
        <v>99</v>
      </c>
      <c r="C8" s="2">
        <v>0</v>
      </c>
      <c r="D8" s="2">
        <v>99</v>
      </c>
      <c r="E8" s="2" t="s">
        <v>74</v>
      </c>
      <c r="F8" s="2" t="s">
        <v>74</v>
      </c>
      <c r="G8" s="2" t="s">
        <v>74</v>
      </c>
      <c r="H8" s="2" t="s">
        <v>74</v>
      </c>
      <c r="I8" s="2" t="s">
        <v>74</v>
      </c>
      <c r="J8" s="2" t="s">
        <v>74</v>
      </c>
      <c r="K8" s="2" t="s">
        <v>74</v>
      </c>
      <c r="L8" s="2">
        <v>4000</v>
      </c>
      <c r="M8" s="2">
        <v>8800</v>
      </c>
      <c r="N8" s="2">
        <v>3955</v>
      </c>
      <c r="O8" s="2">
        <v>8700</v>
      </c>
      <c r="P8" s="2" t="s">
        <v>74</v>
      </c>
      <c r="Q8" s="2" t="s">
        <v>74</v>
      </c>
      <c r="R8" s="1" t="s">
        <v>74</v>
      </c>
      <c r="S8" s="2" t="s">
        <v>74</v>
      </c>
      <c r="T8" s="2" t="s">
        <v>74</v>
      </c>
      <c r="U8" s="2" t="s">
        <v>74</v>
      </c>
      <c r="V8" s="2" t="s">
        <v>74</v>
      </c>
      <c r="W8" s="2" t="s">
        <v>74</v>
      </c>
      <c r="X8" s="2" t="s">
        <v>74</v>
      </c>
      <c r="Y8" s="2" t="s">
        <v>74</v>
      </c>
      <c r="Z8" s="2" t="s">
        <v>74</v>
      </c>
      <c r="AA8" s="2" t="s">
        <v>74</v>
      </c>
      <c r="AB8" s="2" t="s">
        <v>74</v>
      </c>
      <c r="AC8" s="2">
        <v>56.8</v>
      </c>
      <c r="AD8" s="2" t="s">
        <v>74</v>
      </c>
      <c r="AE8" s="2" t="s">
        <v>74</v>
      </c>
      <c r="AF8" s="2" t="s">
        <v>74</v>
      </c>
      <c r="AG8" s="2" t="s">
        <v>74</v>
      </c>
      <c r="AH8" s="2" t="s">
        <v>74</v>
      </c>
      <c r="AI8" s="2" t="s">
        <v>74</v>
      </c>
      <c r="AJ8" s="2" t="s">
        <v>74</v>
      </c>
      <c r="AK8" s="2" t="s">
        <v>74</v>
      </c>
      <c r="AL8" s="2" t="s">
        <v>74</v>
      </c>
      <c r="AM8" s="2" t="s">
        <v>74</v>
      </c>
      <c r="AN8" s="2" t="s">
        <v>74</v>
      </c>
      <c r="AO8" s="2" t="s">
        <v>74</v>
      </c>
      <c r="AP8" s="2" t="s">
        <v>74</v>
      </c>
      <c r="AQ8" s="2" t="s">
        <v>74</v>
      </c>
      <c r="AR8" s="2" t="s">
        <v>74</v>
      </c>
      <c r="AS8" s="2" t="s">
        <v>74</v>
      </c>
      <c r="AT8" s="2" t="s">
        <v>74</v>
      </c>
      <c r="AU8" s="2" t="s">
        <v>74</v>
      </c>
    </row>
    <row r="9" spans="1:59" x14ac:dyDescent="0.25">
      <c r="A9" s="2" t="s">
        <v>104</v>
      </c>
      <c r="B9" s="2">
        <v>99</v>
      </c>
      <c r="C9" s="2">
        <v>0</v>
      </c>
      <c r="D9" s="2">
        <v>98</v>
      </c>
      <c r="E9" s="2" t="s">
        <v>74</v>
      </c>
      <c r="F9" s="2" t="s">
        <v>74</v>
      </c>
      <c r="G9" s="2" t="s">
        <v>74</v>
      </c>
      <c r="H9" s="2" t="s">
        <v>74</v>
      </c>
      <c r="I9" s="2" t="s">
        <v>74</v>
      </c>
      <c r="J9" s="2" t="s">
        <v>74</v>
      </c>
      <c r="K9" s="2">
        <v>200</v>
      </c>
      <c r="L9" s="2">
        <v>3600</v>
      </c>
      <c r="M9" s="2">
        <v>7920</v>
      </c>
      <c r="N9" s="2">
        <v>3615</v>
      </c>
      <c r="O9" s="2">
        <v>7950</v>
      </c>
      <c r="P9" s="2" t="s">
        <v>74</v>
      </c>
      <c r="Q9" s="2" t="s">
        <v>74</v>
      </c>
      <c r="R9" s="1" t="s">
        <v>74</v>
      </c>
      <c r="S9" s="2" t="s">
        <v>74</v>
      </c>
      <c r="T9" s="2" t="s">
        <v>74</v>
      </c>
      <c r="U9" s="2" t="s">
        <v>74</v>
      </c>
      <c r="V9" s="2" t="s">
        <v>74</v>
      </c>
      <c r="W9" s="2" t="s">
        <v>74</v>
      </c>
      <c r="X9" s="2" t="s">
        <v>74</v>
      </c>
      <c r="Y9" s="2" t="s">
        <v>74</v>
      </c>
      <c r="Z9" s="2" t="s">
        <v>74</v>
      </c>
      <c r="AA9" s="2" t="s">
        <v>74</v>
      </c>
      <c r="AB9" s="2" t="s">
        <v>74</v>
      </c>
      <c r="AC9" s="2">
        <v>7.9</v>
      </c>
      <c r="AD9" s="2" t="s">
        <v>74</v>
      </c>
      <c r="AE9" s="2" t="s">
        <v>74</v>
      </c>
      <c r="AF9" s="2" t="s">
        <v>74</v>
      </c>
      <c r="AG9" s="2" t="s">
        <v>74</v>
      </c>
      <c r="AH9" s="2" t="s">
        <v>74</v>
      </c>
      <c r="AI9" s="2" t="s">
        <v>74</v>
      </c>
      <c r="AJ9" s="2" t="s">
        <v>74</v>
      </c>
      <c r="AK9" s="2" t="s">
        <v>74</v>
      </c>
      <c r="AL9" s="2" t="s">
        <v>74</v>
      </c>
      <c r="AM9" s="2" t="s">
        <v>74</v>
      </c>
      <c r="AN9" s="2" t="s">
        <v>74</v>
      </c>
      <c r="AO9" s="2" t="s">
        <v>74</v>
      </c>
      <c r="AP9" s="2" t="s">
        <v>74</v>
      </c>
      <c r="AQ9" s="2" t="s">
        <v>74</v>
      </c>
      <c r="AR9" s="2" t="s">
        <v>74</v>
      </c>
      <c r="AS9" s="2" t="s">
        <v>74</v>
      </c>
      <c r="AT9" s="2" t="s">
        <v>74</v>
      </c>
      <c r="AU9" s="2" t="s">
        <v>74</v>
      </c>
    </row>
    <row r="10" spans="1:59" x14ac:dyDescent="0.25">
      <c r="A10" s="2" t="s">
        <v>102</v>
      </c>
      <c r="B10" s="2">
        <v>99</v>
      </c>
      <c r="C10" s="2">
        <v>0</v>
      </c>
      <c r="D10" s="2">
        <v>98</v>
      </c>
      <c r="E10" s="2" t="s">
        <v>74</v>
      </c>
      <c r="F10" s="2" t="s">
        <v>74</v>
      </c>
      <c r="G10" s="2" t="s">
        <v>74</v>
      </c>
      <c r="H10" s="2" t="s">
        <v>74</v>
      </c>
      <c r="I10" s="2" t="s">
        <v>74</v>
      </c>
      <c r="J10" s="2" t="s">
        <v>74</v>
      </c>
      <c r="K10" s="2" t="s">
        <v>74</v>
      </c>
      <c r="L10" s="2">
        <v>3750</v>
      </c>
      <c r="M10" s="2">
        <v>8250</v>
      </c>
      <c r="N10" s="2">
        <v>3750</v>
      </c>
      <c r="O10" s="2">
        <v>8250</v>
      </c>
      <c r="P10" s="2" t="s">
        <v>74</v>
      </c>
      <c r="Q10" s="2" t="s">
        <v>74</v>
      </c>
      <c r="R10" s="1" t="s">
        <v>74</v>
      </c>
      <c r="S10" s="2" t="s">
        <v>74</v>
      </c>
      <c r="T10" s="2" t="s">
        <v>74</v>
      </c>
      <c r="U10" s="2" t="s">
        <v>74</v>
      </c>
      <c r="V10" s="2" t="s">
        <v>74</v>
      </c>
      <c r="W10" s="2" t="s">
        <v>74</v>
      </c>
      <c r="X10" s="2" t="s">
        <v>74</v>
      </c>
      <c r="Y10" s="2" t="s">
        <v>74</v>
      </c>
      <c r="Z10" s="2" t="s">
        <v>74</v>
      </c>
      <c r="AA10" s="2" t="s">
        <v>74</v>
      </c>
      <c r="AB10" s="2" t="s">
        <v>74</v>
      </c>
      <c r="AC10" s="2" t="s">
        <v>74</v>
      </c>
      <c r="AD10" s="2" t="s">
        <v>74</v>
      </c>
      <c r="AE10" s="2" t="s">
        <v>74</v>
      </c>
      <c r="AF10" s="2" t="s">
        <v>74</v>
      </c>
      <c r="AG10" s="2" t="s">
        <v>74</v>
      </c>
      <c r="AH10" s="2" t="s">
        <v>74</v>
      </c>
      <c r="AI10" s="2" t="s">
        <v>74</v>
      </c>
      <c r="AJ10" s="2" t="s">
        <v>74</v>
      </c>
      <c r="AK10" s="2" t="s">
        <v>74</v>
      </c>
      <c r="AL10" s="2" t="s">
        <v>74</v>
      </c>
      <c r="AM10" s="2" t="s">
        <v>74</v>
      </c>
      <c r="AN10" s="2" t="s">
        <v>74</v>
      </c>
      <c r="AO10" s="2" t="s">
        <v>74</v>
      </c>
      <c r="AP10" s="2" t="s">
        <v>74</v>
      </c>
      <c r="AQ10" s="2" t="s">
        <v>74</v>
      </c>
      <c r="AR10" s="2" t="s">
        <v>74</v>
      </c>
      <c r="AS10" s="2" t="s">
        <v>74</v>
      </c>
      <c r="AT10" s="2" t="s">
        <v>74</v>
      </c>
      <c r="AU10" s="2" t="s">
        <v>74</v>
      </c>
    </row>
    <row r="11" spans="1:59" x14ac:dyDescent="0.25">
      <c r="A11" s="2" t="s">
        <v>8</v>
      </c>
      <c r="R11" s="1"/>
    </row>
    <row r="12" spans="1:59" x14ac:dyDescent="0.25">
      <c r="A12" s="2" t="s">
        <v>9</v>
      </c>
      <c r="B12" s="2">
        <v>90</v>
      </c>
      <c r="C12" s="2">
        <v>44</v>
      </c>
      <c r="D12" s="2">
        <v>0.5</v>
      </c>
      <c r="E12" s="2">
        <v>7</v>
      </c>
      <c r="F12" s="2">
        <v>0.25</v>
      </c>
      <c r="G12" s="2">
        <v>0.6</v>
      </c>
      <c r="H12" s="2">
        <v>0.2</v>
      </c>
      <c r="I12" s="2">
        <v>6</v>
      </c>
      <c r="J12" s="2">
        <v>37.5</v>
      </c>
      <c r="K12" s="2">
        <v>78</v>
      </c>
      <c r="L12" s="2">
        <v>1020</v>
      </c>
      <c r="M12" s="2">
        <v>2240</v>
      </c>
      <c r="N12" s="2">
        <v>1405</v>
      </c>
      <c r="O12" s="2">
        <v>3090</v>
      </c>
      <c r="P12" s="2">
        <v>0.65</v>
      </c>
      <c r="Q12" s="2">
        <v>0.67</v>
      </c>
      <c r="R12" s="1">
        <v>2.7</v>
      </c>
      <c r="S12" s="2">
        <v>0.6</v>
      </c>
      <c r="T12" s="2">
        <v>1.7</v>
      </c>
      <c r="U12" s="2">
        <v>2.5</v>
      </c>
      <c r="V12" s="2">
        <v>1.1000000000000001</v>
      </c>
      <c r="W12" s="2">
        <v>2.4</v>
      </c>
      <c r="X12" s="2">
        <v>3.4</v>
      </c>
      <c r="Y12" s="2">
        <v>3.4</v>
      </c>
      <c r="Z12" s="2">
        <v>2.2000000000000002</v>
      </c>
      <c r="AA12" s="2" t="s">
        <v>74</v>
      </c>
      <c r="AB12" s="2" t="s">
        <v>74</v>
      </c>
      <c r="AC12" s="2">
        <v>3</v>
      </c>
      <c r="AD12" s="2">
        <v>1.7</v>
      </c>
      <c r="AE12" s="2">
        <v>3</v>
      </c>
      <c r="AF12" s="2">
        <v>13.3</v>
      </c>
      <c r="AG12" s="2">
        <v>320</v>
      </c>
      <c r="AH12" s="2">
        <v>450</v>
      </c>
      <c r="AI12" s="2">
        <v>2743</v>
      </c>
      <c r="AJ12" s="2" t="s">
        <v>74</v>
      </c>
      <c r="AK12" s="2">
        <v>59.8</v>
      </c>
      <c r="AL12" s="2">
        <v>0.04</v>
      </c>
      <c r="AM12" s="2">
        <v>1.97</v>
      </c>
      <c r="AN12" s="2">
        <v>0.02</v>
      </c>
      <c r="AO12" s="2">
        <v>0.27</v>
      </c>
      <c r="AP12" s="2">
        <v>0.43</v>
      </c>
      <c r="AQ12" s="2">
        <v>27.5</v>
      </c>
      <c r="AR12" s="2">
        <v>120</v>
      </c>
      <c r="AS12" s="2">
        <v>28</v>
      </c>
      <c r="AT12" s="2">
        <v>60</v>
      </c>
      <c r="AU12" s="2">
        <v>0.1</v>
      </c>
    </row>
    <row r="13" spans="1:59" x14ac:dyDescent="0.25">
      <c r="A13" s="2" t="s">
        <v>10</v>
      </c>
      <c r="B13" s="2">
        <v>88</v>
      </c>
      <c r="C13" s="2">
        <v>47.8</v>
      </c>
      <c r="D13" s="2">
        <v>1</v>
      </c>
      <c r="E13" s="2">
        <v>3</v>
      </c>
      <c r="F13" s="2">
        <v>0.31</v>
      </c>
      <c r="G13" s="2">
        <v>0.72</v>
      </c>
      <c r="H13" s="2">
        <v>0.24</v>
      </c>
      <c r="I13" s="2">
        <v>6</v>
      </c>
      <c r="J13" s="2">
        <v>46.6</v>
      </c>
      <c r="K13" s="2">
        <v>79</v>
      </c>
      <c r="L13" s="2">
        <v>1100</v>
      </c>
      <c r="M13" s="2">
        <v>2425</v>
      </c>
      <c r="N13" s="2">
        <v>1425</v>
      </c>
      <c r="O13" s="2">
        <v>3140</v>
      </c>
      <c r="P13" s="2" t="s">
        <v>137</v>
      </c>
      <c r="Q13" s="1" t="s">
        <v>142</v>
      </c>
      <c r="R13" s="2" t="s">
        <v>147</v>
      </c>
      <c r="S13" s="2">
        <v>0.7</v>
      </c>
      <c r="T13" s="2" t="s">
        <v>153</v>
      </c>
      <c r="U13" s="2" t="s">
        <v>158</v>
      </c>
      <c r="V13" s="2" t="s">
        <v>163</v>
      </c>
      <c r="W13" s="2" t="s">
        <v>168</v>
      </c>
      <c r="X13" s="2" t="s">
        <v>173</v>
      </c>
      <c r="Y13" s="2" t="s">
        <v>178</v>
      </c>
      <c r="Z13" s="2" t="s">
        <v>183</v>
      </c>
      <c r="AA13" s="2" t="s">
        <v>74</v>
      </c>
      <c r="AB13" s="2" t="s">
        <v>74</v>
      </c>
      <c r="AC13" s="2">
        <v>3.3</v>
      </c>
      <c r="AD13" s="2">
        <v>1.7</v>
      </c>
      <c r="AE13" s="2">
        <v>2.6</v>
      </c>
      <c r="AF13" s="2">
        <v>13.2</v>
      </c>
      <c r="AG13" s="2">
        <v>320</v>
      </c>
      <c r="AH13" s="2">
        <v>700</v>
      </c>
      <c r="AI13" s="2">
        <v>2850</v>
      </c>
      <c r="AJ13" s="2" t="s">
        <v>74</v>
      </c>
      <c r="AK13" s="2">
        <v>20.9</v>
      </c>
      <c r="AL13" s="2">
        <v>0.04</v>
      </c>
      <c r="AM13" s="2">
        <v>2.0499999999999998</v>
      </c>
      <c r="AN13" s="2">
        <v>0.02</v>
      </c>
      <c r="AO13" s="2">
        <v>0.28000000000000003</v>
      </c>
      <c r="AP13" s="2">
        <v>0.43</v>
      </c>
      <c r="AQ13" s="2">
        <v>41</v>
      </c>
      <c r="AR13" s="2">
        <v>171</v>
      </c>
      <c r="AS13" s="2">
        <v>15.3</v>
      </c>
      <c r="AT13" s="2">
        <v>48.5</v>
      </c>
      <c r="AU13" s="2">
        <v>0.1</v>
      </c>
    </row>
    <row r="14" spans="1:59" x14ac:dyDescent="0.25">
      <c r="A14" s="2" t="s">
        <v>11</v>
      </c>
      <c r="B14" s="2">
        <v>90</v>
      </c>
      <c r="C14" s="2">
        <v>38</v>
      </c>
      <c r="D14" s="2">
        <v>18</v>
      </c>
      <c r="E14" s="2">
        <v>5</v>
      </c>
      <c r="F14" s="2">
        <v>0.25</v>
      </c>
      <c r="G14" s="2">
        <v>0.59</v>
      </c>
      <c r="H14" s="2">
        <v>0.2</v>
      </c>
      <c r="I14" s="2">
        <v>4.5999999999999996</v>
      </c>
      <c r="J14" s="2">
        <v>34.1</v>
      </c>
      <c r="K14" s="2">
        <v>85</v>
      </c>
      <c r="L14" s="2">
        <v>1520</v>
      </c>
      <c r="M14" s="2">
        <v>3350</v>
      </c>
      <c r="N14" s="2">
        <v>1610</v>
      </c>
      <c r="O14" s="2">
        <v>3540</v>
      </c>
      <c r="P14" s="2">
        <v>0.54</v>
      </c>
      <c r="Q14" s="2">
        <v>0.55000000000000004</v>
      </c>
      <c r="R14" s="1">
        <v>2.4</v>
      </c>
      <c r="S14" s="2">
        <v>0.52</v>
      </c>
      <c r="T14" s="2">
        <v>1.69</v>
      </c>
      <c r="U14" s="2">
        <v>2.1800000000000002</v>
      </c>
      <c r="V14" s="2">
        <v>1.01</v>
      </c>
      <c r="W14" s="2">
        <v>2.02</v>
      </c>
      <c r="X14" s="2">
        <v>2.8</v>
      </c>
      <c r="Y14" s="2">
        <v>2.8</v>
      </c>
      <c r="Z14" s="2">
        <v>2.1</v>
      </c>
      <c r="AA14" s="2" t="s">
        <v>74</v>
      </c>
      <c r="AB14" s="2" t="s">
        <v>74</v>
      </c>
      <c r="AC14" s="2">
        <v>31</v>
      </c>
      <c r="AD14" s="2">
        <v>6.6</v>
      </c>
      <c r="AE14" s="2">
        <v>2.64</v>
      </c>
      <c r="AF14" s="2">
        <v>15.6</v>
      </c>
      <c r="AG14" s="2">
        <v>286</v>
      </c>
      <c r="AH14" s="2">
        <v>3520</v>
      </c>
      <c r="AI14" s="2">
        <v>2420</v>
      </c>
      <c r="AJ14" s="2" t="s">
        <v>74</v>
      </c>
      <c r="AK14" s="2">
        <v>22</v>
      </c>
      <c r="AL14" s="2">
        <v>0.04</v>
      </c>
      <c r="AM14" s="2">
        <v>1.7</v>
      </c>
      <c r="AN14" s="2">
        <v>0.03</v>
      </c>
      <c r="AO14" s="2">
        <v>0.21</v>
      </c>
      <c r="AP14" s="2">
        <v>0.3</v>
      </c>
      <c r="AQ14" s="2">
        <v>30</v>
      </c>
      <c r="AR14" s="2">
        <v>75</v>
      </c>
      <c r="AS14" s="2">
        <v>15</v>
      </c>
      <c r="AT14" s="2">
        <v>35</v>
      </c>
      <c r="AU14" s="2">
        <v>0.1</v>
      </c>
    </row>
    <row r="15" spans="1:59" x14ac:dyDescent="0.25">
      <c r="A15" s="2" t="s">
        <v>101</v>
      </c>
      <c r="B15" s="2">
        <v>92</v>
      </c>
      <c r="C15" s="2">
        <v>27</v>
      </c>
      <c r="D15" s="2">
        <v>9</v>
      </c>
      <c r="E15" s="2">
        <v>8.5</v>
      </c>
      <c r="F15" s="2">
        <v>0.14000000000000001</v>
      </c>
      <c r="G15" s="2">
        <v>0.86</v>
      </c>
      <c r="H15" s="2">
        <v>0.55000000000000004</v>
      </c>
      <c r="I15" s="2">
        <v>4.5</v>
      </c>
      <c r="J15" s="2">
        <v>21.1</v>
      </c>
      <c r="K15" s="2">
        <v>82</v>
      </c>
      <c r="L15" s="2">
        <v>1245</v>
      </c>
      <c r="M15" s="2">
        <v>2744</v>
      </c>
      <c r="N15" s="2">
        <v>1497</v>
      </c>
      <c r="O15" s="2">
        <v>3300</v>
      </c>
      <c r="P15" s="2" t="s">
        <v>138</v>
      </c>
      <c r="Q15" s="1" t="s">
        <v>143</v>
      </c>
      <c r="R15" s="2" t="s">
        <v>148</v>
      </c>
      <c r="S15" s="2" t="s">
        <v>152</v>
      </c>
      <c r="T15" s="2" t="s">
        <v>154</v>
      </c>
      <c r="U15" s="2" t="s">
        <v>159</v>
      </c>
      <c r="V15" s="2" t="s">
        <v>164</v>
      </c>
      <c r="W15" s="2" t="s">
        <v>169</v>
      </c>
      <c r="X15" s="2" t="s">
        <v>174</v>
      </c>
      <c r="Y15" s="2" t="s">
        <v>179</v>
      </c>
      <c r="Z15" s="2" t="s">
        <v>184</v>
      </c>
      <c r="AA15" s="2">
        <v>4</v>
      </c>
      <c r="AB15" s="2">
        <v>2.7</v>
      </c>
      <c r="AC15" s="2">
        <v>40</v>
      </c>
      <c r="AD15" s="2">
        <v>3.5</v>
      </c>
      <c r="AE15" s="2">
        <v>9</v>
      </c>
      <c r="AF15" s="2">
        <v>11.4</v>
      </c>
      <c r="AG15" s="2">
        <v>300</v>
      </c>
      <c r="AH15" s="2">
        <v>880</v>
      </c>
      <c r="AI15" s="2">
        <v>3400</v>
      </c>
      <c r="AJ15" s="2" t="s">
        <v>74</v>
      </c>
      <c r="AK15" s="2">
        <v>79.900000000000006</v>
      </c>
      <c r="AL15" s="2">
        <v>0.2</v>
      </c>
      <c r="AM15" s="2">
        <v>1</v>
      </c>
      <c r="AN15" s="2">
        <v>0.17</v>
      </c>
      <c r="AO15" s="2">
        <v>0.42</v>
      </c>
      <c r="AP15" s="2">
        <v>0.3</v>
      </c>
      <c r="AQ15" s="2">
        <v>30</v>
      </c>
      <c r="AR15" s="2">
        <v>300</v>
      </c>
      <c r="AS15" s="2">
        <v>50</v>
      </c>
      <c r="AT15" s="2">
        <v>85</v>
      </c>
      <c r="AU15" s="2">
        <v>0.35</v>
      </c>
    </row>
    <row r="16" spans="1:59" x14ac:dyDescent="0.25">
      <c r="A16" s="2" t="s">
        <v>12</v>
      </c>
      <c r="B16" s="2">
        <v>90</v>
      </c>
      <c r="C16" s="2">
        <v>60</v>
      </c>
      <c r="D16" s="2">
        <v>2</v>
      </c>
      <c r="E16" s="2">
        <v>2.5</v>
      </c>
      <c r="F16" s="2">
        <v>0.02</v>
      </c>
      <c r="G16" s="2">
        <v>0.5</v>
      </c>
      <c r="H16" s="2">
        <v>0.18</v>
      </c>
      <c r="I16" s="2">
        <v>1.8</v>
      </c>
      <c r="J16" s="2">
        <v>47.4</v>
      </c>
      <c r="K16" s="2">
        <v>86</v>
      </c>
      <c r="L16" s="2">
        <v>1700</v>
      </c>
      <c r="M16" s="2">
        <v>3740</v>
      </c>
      <c r="N16" s="2" t="s">
        <v>105</v>
      </c>
      <c r="O16" s="2" t="s">
        <v>105</v>
      </c>
      <c r="P16" s="2" t="s">
        <v>139</v>
      </c>
      <c r="Q16" s="1" t="s">
        <v>144</v>
      </c>
      <c r="R16" s="2" t="s">
        <v>149</v>
      </c>
      <c r="S16" s="2">
        <v>0.3</v>
      </c>
      <c r="T16" s="2" t="s">
        <v>155</v>
      </c>
      <c r="U16" s="2" t="s">
        <v>160</v>
      </c>
      <c r="V16" s="2" t="s">
        <v>165</v>
      </c>
      <c r="W16" s="2" t="s">
        <v>170</v>
      </c>
      <c r="X16" s="2" t="s">
        <v>175</v>
      </c>
      <c r="Y16" s="2" t="s">
        <v>180</v>
      </c>
      <c r="Z16" s="2" t="s">
        <v>185</v>
      </c>
      <c r="AA16" s="2">
        <v>44</v>
      </c>
      <c r="AB16" s="2">
        <v>60</v>
      </c>
      <c r="AC16" s="2">
        <v>25.5</v>
      </c>
      <c r="AD16" s="2">
        <v>0.28000000000000003</v>
      </c>
      <c r="AE16" s="2">
        <v>2.2000000000000002</v>
      </c>
      <c r="AF16" s="2">
        <v>2.9</v>
      </c>
      <c r="AG16" s="2">
        <v>220</v>
      </c>
      <c r="AH16" s="2">
        <v>230</v>
      </c>
      <c r="AI16" s="2">
        <v>2200</v>
      </c>
      <c r="AJ16" s="2" t="s">
        <v>74</v>
      </c>
      <c r="AK16" s="2">
        <v>81</v>
      </c>
      <c r="AL16" s="2">
        <v>0.03</v>
      </c>
      <c r="AM16" s="2">
        <v>0.45</v>
      </c>
      <c r="AN16" s="2">
        <v>0.05</v>
      </c>
      <c r="AO16" s="2">
        <v>0.15</v>
      </c>
      <c r="AP16" s="2">
        <v>0.5</v>
      </c>
      <c r="AQ16" s="2">
        <v>4</v>
      </c>
      <c r="AR16" s="2">
        <v>400</v>
      </c>
      <c r="AS16" s="2">
        <v>22</v>
      </c>
      <c r="AT16" s="2">
        <v>41</v>
      </c>
      <c r="AU16" s="2">
        <v>1</v>
      </c>
    </row>
    <row r="17" spans="1:51" x14ac:dyDescent="0.25">
      <c r="A17" s="2" t="s">
        <v>13</v>
      </c>
      <c r="B17" s="2">
        <v>93</v>
      </c>
      <c r="C17" s="2">
        <v>50</v>
      </c>
      <c r="D17" s="2">
        <v>8.5</v>
      </c>
      <c r="E17" s="2">
        <v>2.8</v>
      </c>
      <c r="F17" s="2">
        <v>9.1999999999999993</v>
      </c>
      <c r="G17" s="2">
        <v>4.7</v>
      </c>
      <c r="H17" s="2">
        <v>4.7</v>
      </c>
      <c r="I17" s="2">
        <v>33</v>
      </c>
      <c r="J17" s="2">
        <v>39.5</v>
      </c>
      <c r="K17" s="2">
        <v>68</v>
      </c>
      <c r="L17" s="2">
        <v>1150</v>
      </c>
      <c r="M17" s="2">
        <v>2530</v>
      </c>
      <c r="N17" s="2">
        <v>1105</v>
      </c>
      <c r="O17" s="2">
        <v>2435</v>
      </c>
      <c r="P17" s="2" t="s">
        <v>140</v>
      </c>
      <c r="Q17" s="1" t="s">
        <v>145</v>
      </c>
      <c r="R17" s="2" t="s">
        <v>150</v>
      </c>
      <c r="S17" s="2">
        <v>0.26</v>
      </c>
      <c r="T17" s="2" t="s">
        <v>156</v>
      </c>
      <c r="U17" s="2" t="s">
        <v>161</v>
      </c>
      <c r="V17" s="2" t="s">
        <v>166</v>
      </c>
      <c r="W17" s="2" t="s">
        <v>171</v>
      </c>
      <c r="X17" s="2" t="s">
        <v>176</v>
      </c>
      <c r="Y17" s="2" t="s">
        <v>181</v>
      </c>
      <c r="Z17" s="2" t="s">
        <v>186</v>
      </c>
      <c r="AA17" s="2" t="s">
        <v>74</v>
      </c>
      <c r="AB17" s="2" t="s">
        <v>74</v>
      </c>
      <c r="AC17" s="2">
        <v>0.8</v>
      </c>
      <c r="AD17" s="2">
        <v>0.2</v>
      </c>
      <c r="AE17" s="2">
        <v>5.2</v>
      </c>
      <c r="AF17" s="2">
        <v>4.4000000000000004</v>
      </c>
      <c r="AG17" s="2">
        <v>140</v>
      </c>
      <c r="AH17" s="2">
        <v>600</v>
      </c>
      <c r="AI17" s="2">
        <v>2000</v>
      </c>
      <c r="AJ17" s="2">
        <v>100</v>
      </c>
      <c r="AK17" s="2">
        <v>59.4</v>
      </c>
      <c r="AL17" s="2">
        <v>0.8</v>
      </c>
      <c r="AM17" s="2">
        <v>1.4</v>
      </c>
      <c r="AN17" s="2">
        <v>0.75</v>
      </c>
      <c r="AO17" s="2">
        <v>1.1299999999999999</v>
      </c>
      <c r="AP17" s="2">
        <v>0.4</v>
      </c>
      <c r="AQ17" s="2">
        <v>12.3</v>
      </c>
      <c r="AR17" s="2">
        <v>500</v>
      </c>
      <c r="AS17" s="2">
        <v>3</v>
      </c>
      <c r="AT17" s="2">
        <v>90</v>
      </c>
      <c r="AU17" s="2">
        <v>0.25</v>
      </c>
    </row>
    <row r="18" spans="1:51" x14ac:dyDescent="0.25">
      <c r="A18" s="2" t="s">
        <v>14</v>
      </c>
      <c r="B18" s="2">
        <v>93</v>
      </c>
      <c r="C18" s="2">
        <v>85</v>
      </c>
      <c r="D18" s="2">
        <v>4</v>
      </c>
      <c r="E18" s="2">
        <v>1.5</v>
      </c>
      <c r="F18" s="2">
        <v>0.2</v>
      </c>
      <c r="G18" s="2">
        <v>0.7</v>
      </c>
      <c r="H18" s="2">
        <v>0.7</v>
      </c>
      <c r="I18" s="2">
        <v>3.9</v>
      </c>
      <c r="J18" s="2">
        <v>70.099999999999994</v>
      </c>
      <c r="K18" s="2">
        <v>63</v>
      </c>
      <c r="L18" s="2">
        <v>1310</v>
      </c>
      <c r="M18" s="2">
        <v>2880</v>
      </c>
      <c r="N18" s="2">
        <v>1030</v>
      </c>
      <c r="O18" s="2">
        <v>2270</v>
      </c>
      <c r="P18" s="2" t="s">
        <v>141</v>
      </c>
      <c r="Q18" s="1" t="s">
        <v>146</v>
      </c>
      <c r="R18" s="2" t="s">
        <v>151</v>
      </c>
      <c r="S18" s="2">
        <v>0.5</v>
      </c>
      <c r="T18" s="2" t="s">
        <v>157</v>
      </c>
      <c r="U18" s="2" t="s">
        <v>162</v>
      </c>
      <c r="V18" s="2" t="s">
        <v>167</v>
      </c>
      <c r="W18" s="2" t="s">
        <v>172</v>
      </c>
      <c r="X18" s="2" t="s">
        <v>177</v>
      </c>
      <c r="Y18" s="2" t="s">
        <v>182</v>
      </c>
      <c r="Z18" s="2" t="s">
        <v>187</v>
      </c>
      <c r="AA18" s="2" t="s">
        <v>74</v>
      </c>
      <c r="AB18" s="2" t="s">
        <v>74</v>
      </c>
      <c r="AC18" s="2" t="s">
        <v>74</v>
      </c>
      <c r="AD18" s="2" t="s">
        <v>74</v>
      </c>
      <c r="AE18" s="2">
        <v>2</v>
      </c>
      <c r="AF18" s="2">
        <v>11</v>
      </c>
      <c r="AG18" s="2">
        <v>44</v>
      </c>
      <c r="AH18" s="2">
        <v>220</v>
      </c>
      <c r="AI18" s="2">
        <v>880</v>
      </c>
      <c r="AJ18" s="2">
        <v>70</v>
      </c>
      <c r="AK18" s="2">
        <v>30.8</v>
      </c>
      <c r="AL18" s="2">
        <v>0.7</v>
      </c>
      <c r="AM18" s="2">
        <v>0.3</v>
      </c>
      <c r="AN18" s="2">
        <v>0.28000000000000003</v>
      </c>
      <c r="AO18" s="2">
        <v>0.2</v>
      </c>
      <c r="AP18" s="2">
        <v>1.4</v>
      </c>
      <c r="AQ18" s="2">
        <v>9</v>
      </c>
      <c r="AR18" s="2">
        <v>70</v>
      </c>
      <c r="AS18" s="2">
        <v>7</v>
      </c>
      <c r="AT18" s="2">
        <v>55</v>
      </c>
      <c r="AU18" s="2">
        <v>0.8</v>
      </c>
    </row>
    <row r="19" spans="1:51" x14ac:dyDescent="0.25">
      <c r="A19" s="2" t="s">
        <v>99</v>
      </c>
      <c r="B19" s="2">
        <v>91</v>
      </c>
      <c r="C19" s="2">
        <v>65</v>
      </c>
      <c r="D19" s="2">
        <v>10</v>
      </c>
      <c r="E19" s="2">
        <v>1</v>
      </c>
      <c r="F19" s="2">
        <v>4</v>
      </c>
      <c r="G19" s="2">
        <v>2.85</v>
      </c>
      <c r="H19" s="2">
        <v>2.85</v>
      </c>
      <c r="I19" s="2">
        <v>15</v>
      </c>
      <c r="J19" s="2">
        <v>52.7</v>
      </c>
      <c r="K19" s="2">
        <v>73</v>
      </c>
      <c r="L19" s="2">
        <v>1280</v>
      </c>
      <c r="M19" s="2">
        <v>2820</v>
      </c>
      <c r="N19" s="2">
        <v>1340</v>
      </c>
      <c r="O19" s="2">
        <v>2950</v>
      </c>
      <c r="P19" s="2">
        <v>1.9</v>
      </c>
      <c r="Q19" s="2">
        <v>0.6</v>
      </c>
      <c r="R19" s="1">
        <v>4.9000000000000004</v>
      </c>
      <c r="S19" s="2">
        <v>0.75</v>
      </c>
      <c r="T19" s="2">
        <v>2.7</v>
      </c>
      <c r="U19" s="2">
        <v>3</v>
      </c>
      <c r="V19" s="2">
        <v>1.5</v>
      </c>
      <c r="W19" s="2">
        <v>3.4</v>
      </c>
      <c r="X19" s="2">
        <v>5</v>
      </c>
      <c r="Y19" s="2">
        <v>3.38</v>
      </c>
      <c r="Z19" s="2">
        <v>2.39</v>
      </c>
      <c r="AA19" s="2" t="s">
        <v>74</v>
      </c>
      <c r="AB19" s="2" t="s">
        <v>74</v>
      </c>
      <c r="AC19" s="2">
        <v>5.6</v>
      </c>
      <c r="AD19" s="2">
        <v>0.1</v>
      </c>
      <c r="AE19" s="2">
        <v>7.5</v>
      </c>
      <c r="AF19" s="2">
        <v>20.3</v>
      </c>
      <c r="AG19" s="2">
        <v>200</v>
      </c>
      <c r="AH19" s="2">
        <v>220</v>
      </c>
      <c r="AI19" s="2">
        <v>5100</v>
      </c>
      <c r="AJ19" s="2">
        <v>600</v>
      </c>
      <c r="AK19" s="2">
        <v>135</v>
      </c>
      <c r="AL19" s="2">
        <v>0.88</v>
      </c>
      <c r="AM19" s="2">
        <v>0.9</v>
      </c>
      <c r="AN19" s="2">
        <v>0.6</v>
      </c>
      <c r="AO19" s="2">
        <v>0.27</v>
      </c>
      <c r="AP19" s="2">
        <v>0.54</v>
      </c>
      <c r="AQ19" s="2">
        <v>9</v>
      </c>
      <c r="AR19" s="2">
        <v>226</v>
      </c>
      <c r="AS19" s="2">
        <v>9</v>
      </c>
      <c r="AT19" s="2">
        <v>100</v>
      </c>
      <c r="AU19" s="2">
        <v>2.7</v>
      </c>
    </row>
    <row r="20" spans="1:51" x14ac:dyDescent="0.25">
      <c r="A20" s="2" t="s">
        <v>100</v>
      </c>
      <c r="B20" s="2">
        <v>74</v>
      </c>
      <c r="C20" s="2">
        <v>2.9</v>
      </c>
      <c r="D20" s="2">
        <v>0</v>
      </c>
      <c r="E20" s="2">
        <v>0</v>
      </c>
      <c r="F20" s="2">
        <v>0.82</v>
      </c>
      <c r="G20" s="2">
        <v>0.08</v>
      </c>
      <c r="H20" s="2" t="s">
        <v>74</v>
      </c>
      <c r="I20" s="2">
        <v>8.1</v>
      </c>
      <c r="J20" s="2">
        <v>1.8</v>
      </c>
      <c r="K20" s="2">
        <v>54</v>
      </c>
      <c r="L20" s="2">
        <v>900</v>
      </c>
      <c r="M20" s="2">
        <v>1980</v>
      </c>
      <c r="N20" s="2">
        <v>1065</v>
      </c>
      <c r="O20" s="2">
        <v>2345</v>
      </c>
      <c r="P20" s="2" t="s">
        <v>74</v>
      </c>
      <c r="Q20" s="2" t="s">
        <v>74</v>
      </c>
      <c r="R20" s="1" t="s">
        <v>74</v>
      </c>
      <c r="S20" s="2" t="s">
        <v>74</v>
      </c>
      <c r="T20" s="2" t="s">
        <v>74</v>
      </c>
      <c r="U20" s="2" t="s">
        <v>74</v>
      </c>
      <c r="V20" s="2" t="s">
        <v>74</v>
      </c>
      <c r="W20" s="2" t="s">
        <v>74</v>
      </c>
      <c r="X20" s="2" t="s">
        <v>74</v>
      </c>
      <c r="Y20" s="2" t="s">
        <v>74</v>
      </c>
      <c r="Z20" s="2" t="s">
        <v>74</v>
      </c>
      <c r="AA20" s="2" t="s">
        <v>74</v>
      </c>
      <c r="AB20" s="2" t="s">
        <v>74</v>
      </c>
      <c r="AC20" s="2">
        <v>4.4000000000000004</v>
      </c>
      <c r="AD20" s="2">
        <v>0.9</v>
      </c>
      <c r="AE20" s="2">
        <v>2.2999999999999998</v>
      </c>
      <c r="AF20" s="2">
        <v>39</v>
      </c>
      <c r="AG20" s="2">
        <v>700</v>
      </c>
      <c r="AH20" s="2" t="s">
        <v>74</v>
      </c>
      <c r="AI20" s="2">
        <v>660</v>
      </c>
      <c r="AJ20" s="2" t="s">
        <v>74</v>
      </c>
      <c r="AK20" s="2">
        <v>45</v>
      </c>
      <c r="AL20" s="2">
        <v>0.16</v>
      </c>
      <c r="AM20" s="2">
        <v>2.38</v>
      </c>
      <c r="AN20" s="2">
        <v>2.8</v>
      </c>
      <c r="AO20" s="2">
        <v>0.35</v>
      </c>
      <c r="AP20" s="2">
        <v>0.35</v>
      </c>
      <c r="AQ20" s="2">
        <v>42.2</v>
      </c>
      <c r="AR20" s="2">
        <v>200</v>
      </c>
      <c r="AS20" s="2">
        <v>59.6</v>
      </c>
      <c r="AT20" s="2" t="s">
        <v>74</v>
      </c>
      <c r="AU20" s="2" t="s">
        <v>105</v>
      </c>
    </row>
    <row r="21" spans="1:51" x14ac:dyDescent="0.25">
      <c r="A21" s="2" t="s">
        <v>407</v>
      </c>
      <c r="B21" s="2">
        <v>90</v>
      </c>
      <c r="C21" s="2">
        <v>80</v>
      </c>
      <c r="D21" s="2">
        <v>0.5</v>
      </c>
      <c r="E21" s="2">
        <v>0.2</v>
      </c>
      <c r="F21" s="2">
        <v>0.6</v>
      </c>
      <c r="G21" s="2">
        <v>1</v>
      </c>
      <c r="H21" s="2">
        <v>1</v>
      </c>
      <c r="I21" s="2">
        <v>3.5</v>
      </c>
      <c r="J21" s="2">
        <v>76</v>
      </c>
      <c r="K21" s="2">
        <v>74</v>
      </c>
      <c r="L21" s="2">
        <v>1875</v>
      </c>
      <c r="M21" s="2">
        <v>4120</v>
      </c>
      <c r="N21" s="2">
        <v>1245</v>
      </c>
      <c r="O21" s="2">
        <v>2740</v>
      </c>
      <c r="P21" s="2">
        <f>2.7*0.99</f>
        <v>2.673</v>
      </c>
      <c r="Q21" s="2">
        <f>0.3*0.84</f>
        <v>0.252</v>
      </c>
      <c r="R21" s="2">
        <f>7*0.97</f>
        <v>6.79</v>
      </c>
      <c r="S21" s="2">
        <v>1</v>
      </c>
      <c r="T21" s="2">
        <f>3.8*0.98</f>
        <v>3.7239999999999998</v>
      </c>
      <c r="U21" s="2">
        <f>5.7*0.98</f>
        <v>5.5860000000000003</v>
      </c>
      <c r="V21" s="20">
        <f>2.5*0.96</f>
        <v>2.4</v>
      </c>
      <c r="W21" s="2">
        <f>6.8*0.98</f>
        <v>6.6639999999999997</v>
      </c>
      <c r="X21" s="2">
        <f>8.7*0.99</f>
        <v>8.6129999999999995</v>
      </c>
      <c r="Y21" s="2">
        <f>3.4*0.97</f>
        <v>3.298</v>
      </c>
      <c r="Z21" s="2">
        <f>4.6*0.99</f>
        <v>4.5539999999999994</v>
      </c>
      <c r="AA21" s="2" t="s">
        <v>74</v>
      </c>
      <c r="AB21" s="2" t="s">
        <v>74</v>
      </c>
      <c r="AC21" s="2" t="s">
        <v>74</v>
      </c>
      <c r="AD21" s="2">
        <v>0.4</v>
      </c>
      <c r="AE21" s="2">
        <v>1.5</v>
      </c>
      <c r="AF21" s="2">
        <v>2.6</v>
      </c>
      <c r="AG21" s="2">
        <v>40</v>
      </c>
      <c r="AH21" s="2">
        <v>400</v>
      </c>
      <c r="AI21" s="2">
        <v>209</v>
      </c>
      <c r="AJ21" s="2" t="s">
        <v>74</v>
      </c>
      <c r="AK21" s="2">
        <v>1.3</v>
      </c>
      <c r="AL21" s="2">
        <v>0.01</v>
      </c>
      <c r="AM21" s="2" t="s">
        <v>105</v>
      </c>
      <c r="AN21" s="2" t="s">
        <v>105</v>
      </c>
      <c r="AO21" s="2" t="s">
        <v>105</v>
      </c>
      <c r="AP21" s="2" t="s">
        <v>105</v>
      </c>
      <c r="AQ21" s="2">
        <v>4</v>
      </c>
      <c r="AR21" s="2">
        <v>17</v>
      </c>
      <c r="AS21" s="2">
        <v>4</v>
      </c>
      <c r="AT21" s="2">
        <v>30</v>
      </c>
      <c r="AU21" s="2" t="s">
        <v>105</v>
      </c>
    </row>
    <row r="22" spans="1:51" x14ac:dyDescent="0.25">
      <c r="P22" s="2" t="s">
        <v>18</v>
      </c>
      <c r="S22" s="2" t="s">
        <v>19</v>
      </c>
      <c r="T22" s="1" t="s">
        <v>20</v>
      </c>
      <c r="U22" s="2" t="s">
        <v>21</v>
      </c>
      <c r="V22" s="2" t="s">
        <v>22</v>
      </c>
      <c r="W22" s="2" t="s">
        <v>23</v>
      </c>
      <c r="X22" s="2" t="s">
        <v>24</v>
      </c>
      <c r="Y22" s="2" t="s">
        <v>25</v>
      </c>
      <c r="Z22" s="2" t="s">
        <v>26</v>
      </c>
      <c r="AA22" s="2" t="s">
        <v>27</v>
      </c>
      <c r="AB22" s="2" t="s">
        <v>28</v>
      </c>
      <c r="AC22" s="2" t="s">
        <v>29</v>
      </c>
      <c r="AD22" s="2" t="s">
        <v>30</v>
      </c>
      <c r="AE22" s="2" t="s">
        <v>31</v>
      </c>
      <c r="AF22" s="2" t="s">
        <v>32</v>
      </c>
      <c r="AG22" s="2" t="s">
        <v>33</v>
      </c>
      <c r="AH22" s="2" t="s">
        <v>34</v>
      </c>
      <c r="AN22" s="2" t="s">
        <v>39</v>
      </c>
      <c r="AO22" s="2" t="s">
        <v>40</v>
      </c>
      <c r="AP22" s="2" t="s">
        <v>41</v>
      </c>
      <c r="AQ22" s="2" t="s">
        <v>42</v>
      </c>
      <c r="AS22" s="2" t="s">
        <v>44</v>
      </c>
      <c r="AT22" s="2" t="s">
        <v>45</v>
      </c>
    </row>
    <row r="23" spans="1:51" x14ac:dyDescent="0.25">
      <c r="S23" s="1"/>
    </row>
    <row r="24" spans="1:51" s="16" customFormat="1" ht="14.25" x14ac:dyDescent="0.25">
      <c r="A24" s="16" t="s">
        <v>929</v>
      </c>
      <c r="B24" s="16" t="s">
        <v>365</v>
      </c>
      <c r="C24" s="16" t="s">
        <v>364</v>
      </c>
      <c r="D24" s="16" t="s">
        <v>363</v>
      </c>
      <c r="E24" s="16" t="str">
        <f t="shared" ref="E24:E43" si="0">M1</f>
        <v>Poultry ME</v>
      </c>
      <c r="F24" s="16" t="str">
        <f t="shared" ref="F24:F43" si="1">O1</f>
        <v>Swine ME</v>
      </c>
      <c r="G24" s="16" t="str">
        <f t="shared" ref="G24:G43" si="2">D1</f>
        <v>Ether Extract</v>
      </c>
      <c r="H24" s="16" t="str">
        <f t="shared" ref="H24:H43" si="3">E1</f>
        <v>Crude fiber</v>
      </c>
      <c r="I24" s="16" t="str">
        <f t="shared" ref="I24:I43" si="4">F1</f>
        <v>Calcium</v>
      </c>
      <c r="J24" s="16" t="s">
        <v>361</v>
      </c>
      <c r="K24" s="16" t="s">
        <v>362</v>
      </c>
      <c r="L24" s="16" t="s">
        <v>17</v>
      </c>
      <c r="M24" s="16" t="str">
        <f t="shared" ref="M24:O25" si="5">P1</f>
        <v>Methionine</v>
      </c>
      <c r="N24" s="16" t="str">
        <f t="shared" si="5"/>
        <v>Cysteine</v>
      </c>
      <c r="O24" s="16" t="str">
        <f t="shared" si="5"/>
        <v>Lysine</v>
      </c>
      <c r="P24" s="16" t="str">
        <f t="shared" ref="P24:P43" si="6">V1</f>
        <v>Histidine</v>
      </c>
      <c r="Q24" s="16" t="s">
        <v>189</v>
      </c>
      <c r="R24" s="16" t="str">
        <f t="shared" ref="R24:S43" si="7">S1</f>
        <v>Tryptophan</v>
      </c>
      <c r="S24" s="16" t="str">
        <f t="shared" si="7"/>
        <v>Threonine</v>
      </c>
      <c r="T24" s="17" t="str">
        <f t="shared" ref="T24:T43" si="8">Y1</f>
        <v>Arginine</v>
      </c>
      <c r="U24" s="16" t="str">
        <f t="shared" ref="U24:U43" si="9">U1</f>
        <v>Isoleucine</v>
      </c>
      <c r="V24" s="16" t="str">
        <f t="shared" ref="V24:V43" si="10">X1</f>
        <v>Leucine</v>
      </c>
      <c r="W24" s="16" t="str">
        <f t="shared" ref="W24:W43" si="11">Z1</f>
        <v>Phenylalanine</v>
      </c>
      <c r="X24" s="16" t="str">
        <f t="shared" ref="X24:X43" si="12">W1</f>
        <v>Valine</v>
      </c>
      <c r="Y24" s="16" t="str">
        <f t="shared" ref="Y24:Y43" si="13">AN1</f>
        <v>Chloride</v>
      </c>
      <c r="Z24" s="16" t="str">
        <f t="shared" ref="Z24:Z43" si="14">AO1</f>
        <v>Magnesium</v>
      </c>
      <c r="AA24" s="16" t="str">
        <f t="shared" ref="AA24:AA43" si="15">AL1</f>
        <v>Sodium</v>
      </c>
      <c r="AB24" s="16" t="str">
        <f t="shared" ref="AB24:AB43" si="16">AM1</f>
        <v>Potassium</v>
      </c>
      <c r="AC24" s="16" t="str">
        <f t="shared" ref="AC24:AC43" si="17">AP1</f>
        <v>Sulphur</v>
      </c>
      <c r="AD24" s="16" t="str">
        <f t="shared" ref="AD24:AD43" si="18">AR1</f>
        <v>Iron</v>
      </c>
      <c r="AE24" s="16" t="str">
        <f t="shared" ref="AE24:AE43" si="19">AQ1</f>
        <v>Manganese</v>
      </c>
      <c r="AF24" s="16" t="str">
        <f t="shared" ref="AF24:AF43" si="20">AS1</f>
        <v>Copper</v>
      </c>
      <c r="AG24" s="16" t="s">
        <v>189</v>
      </c>
      <c r="AH24" s="16" t="str">
        <f t="shared" ref="AH24:AH43" si="21">AT1</f>
        <v>Zinc</v>
      </c>
      <c r="AI24" s="16" t="str">
        <f t="shared" ref="AI24:AI43" si="22">AU1</f>
        <v>Selenium</v>
      </c>
      <c r="AJ24" s="16" t="s">
        <v>35</v>
      </c>
      <c r="AK24" s="16" t="s">
        <v>36</v>
      </c>
      <c r="AL24" s="16" t="s">
        <v>366</v>
      </c>
      <c r="AM24" s="16" t="s">
        <v>37</v>
      </c>
      <c r="AN24" s="16" t="str">
        <f t="shared" ref="AN24:AN43" si="23">AC1</f>
        <v>Vitamin E</v>
      </c>
      <c r="AO24" s="16" t="s">
        <v>38</v>
      </c>
      <c r="AP24" s="16" t="str">
        <f t="shared" ref="AP24:AP43" si="24">AD1</f>
        <v>Thiamin</v>
      </c>
      <c r="AQ24" s="16" t="str">
        <f t="shared" ref="AQ24:AQ43" si="25">AE1</f>
        <v>Riboflavin</v>
      </c>
      <c r="AR24" s="16" t="str">
        <f t="shared" ref="AR24:AR43" si="26">AK1</f>
        <v>Niacin</v>
      </c>
      <c r="AS24" s="16" t="str">
        <f t="shared" ref="AS24:AS43" si="27">AF1</f>
        <v>Pantothenic acid</v>
      </c>
      <c r="AT24" s="16" t="s">
        <v>43</v>
      </c>
      <c r="AU24" s="16" t="str">
        <f t="shared" ref="AU24:AU43" si="28">AG1</f>
        <v>Biotin</v>
      </c>
      <c r="AV24" s="16" t="str">
        <f t="shared" ref="AV24:AV43" si="29">AH1</f>
        <v>Folic acid</v>
      </c>
      <c r="AW24" s="16" t="str">
        <f t="shared" ref="AW24:AW43" si="30">AJ1</f>
        <v>Vitamin B12</v>
      </c>
      <c r="AX24" s="16" t="s">
        <v>46</v>
      </c>
      <c r="AY24" s="16" t="str">
        <f t="shared" ref="AY24:AY43" si="31">AI1</f>
        <v>Choline</v>
      </c>
    </row>
    <row r="25" spans="1:51" x14ac:dyDescent="0.25">
      <c r="A25" s="2" t="s">
        <v>188</v>
      </c>
      <c r="B25" s="2" t="str">
        <f t="shared" ref="B25:C43" si="32">B2</f>
        <v>%</v>
      </c>
      <c r="C25" s="2" t="str">
        <f t="shared" si="32"/>
        <v>%</v>
      </c>
      <c r="D25" s="2" t="str">
        <f t="shared" ref="D25:D43" si="33">J2</f>
        <v>%</v>
      </c>
      <c r="E25" s="2" t="str">
        <f t="shared" si="0"/>
        <v>Kcal/kg</v>
      </c>
      <c r="F25" s="2" t="str">
        <f t="shared" si="1"/>
        <v>Kcal/kg</v>
      </c>
      <c r="G25" s="2" t="str">
        <f t="shared" si="2"/>
        <v>%</v>
      </c>
      <c r="H25" s="2" t="str">
        <f t="shared" si="3"/>
        <v>%</v>
      </c>
      <c r="I25" s="2" t="str">
        <f t="shared" si="4"/>
        <v>%</v>
      </c>
      <c r="J25" s="2" t="str">
        <f t="shared" ref="J25:J43" si="34">G2</f>
        <v>%</v>
      </c>
      <c r="K25" s="2" t="str">
        <f t="shared" ref="K25:K43" si="35">H2</f>
        <v>%</v>
      </c>
      <c r="L25" s="2" t="s">
        <v>74</v>
      </c>
      <c r="M25" s="2" t="str">
        <f t="shared" si="5"/>
        <v>%</v>
      </c>
      <c r="N25" s="2" t="str">
        <f t="shared" si="5"/>
        <v>%</v>
      </c>
      <c r="O25" s="2" t="str">
        <f t="shared" si="5"/>
        <v>%</v>
      </c>
      <c r="P25" s="2" t="str">
        <f>V2</f>
        <v>%</v>
      </c>
      <c r="Q25" s="2" t="s">
        <v>188</v>
      </c>
      <c r="R25" s="2" t="str">
        <f t="shared" si="7"/>
        <v>%</v>
      </c>
      <c r="S25" s="2" t="str">
        <f t="shared" si="7"/>
        <v>%</v>
      </c>
      <c r="T25" s="1" t="str">
        <f>Y2</f>
        <v>%</v>
      </c>
      <c r="U25" s="2" t="str">
        <f>U2</f>
        <v>%</v>
      </c>
      <c r="V25" s="2" t="str">
        <f>X2</f>
        <v>%</v>
      </c>
      <c r="W25" s="2" t="str">
        <f>Z2</f>
        <v>%</v>
      </c>
      <c r="X25" s="2" t="str">
        <f>W2</f>
        <v>%</v>
      </c>
      <c r="Y25" s="2" t="str">
        <f t="shared" si="13"/>
        <v>%</v>
      </c>
      <c r="Z25" s="2" t="str">
        <f t="shared" si="14"/>
        <v>%</v>
      </c>
      <c r="AA25" s="2" t="str">
        <f t="shared" si="15"/>
        <v>%</v>
      </c>
      <c r="AB25" s="2" t="str">
        <f t="shared" si="16"/>
        <v>%</v>
      </c>
      <c r="AC25" s="2" t="str">
        <f t="shared" si="17"/>
        <v>%</v>
      </c>
      <c r="AD25" s="2" t="str">
        <f t="shared" si="18"/>
        <v>ppm</v>
      </c>
      <c r="AE25" s="2" t="str">
        <f t="shared" si="19"/>
        <v>ppm</v>
      </c>
      <c r="AF25" s="2" t="str">
        <f t="shared" si="20"/>
        <v>ppm</v>
      </c>
      <c r="AG25" s="2" t="s">
        <v>188</v>
      </c>
      <c r="AH25" s="2" t="str">
        <f t="shared" si="21"/>
        <v>ppm</v>
      </c>
      <c r="AI25" s="2" t="str">
        <f t="shared" si="22"/>
        <v>ppm</v>
      </c>
      <c r="AJ25" s="2" t="s">
        <v>74</v>
      </c>
      <c r="AK25" s="2" t="s">
        <v>74</v>
      </c>
      <c r="AL25" s="2" t="str">
        <f t="shared" ref="AL25:AL43" si="36">AB2</f>
        <v>IU/g</v>
      </c>
      <c r="AM25" s="2" t="s">
        <v>74</v>
      </c>
      <c r="AN25" s="2" t="str">
        <f t="shared" si="23"/>
        <v>mg/kg</v>
      </c>
      <c r="AO25" s="2" t="s">
        <v>74</v>
      </c>
      <c r="AP25" s="2" t="str">
        <f t="shared" si="24"/>
        <v>mg/kg</v>
      </c>
      <c r="AQ25" s="2" t="str">
        <f t="shared" si="25"/>
        <v>mg/kg</v>
      </c>
      <c r="AR25" s="2" t="str">
        <f t="shared" si="26"/>
        <v>mg/kg</v>
      </c>
      <c r="AS25" s="2" t="str">
        <f t="shared" si="27"/>
        <v>mg/kg</v>
      </c>
      <c r="AT25" s="2" t="s">
        <v>74</v>
      </c>
      <c r="AU25" s="2" t="str">
        <f t="shared" si="28"/>
        <v>ug/kg</v>
      </c>
      <c r="AV25" s="2" t="str">
        <f t="shared" si="29"/>
        <v>ug/kg</v>
      </c>
      <c r="AW25" s="2" t="str">
        <f t="shared" si="30"/>
        <v>ug/kg</v>
      </c>
      <c r="AX25" s="2" t="s">
        <v>74</v>
      </c>
      <c r="AY25" s="2" t="str">
        <f t="shared" si="31"/>
        <v>mg/kg</v>
      </c>
    </row>
    <row r="26" spans="1:51" x14ac:dyDescent="0.25">
      <c r="A26" s="2" t="s">
        <v>0</v>
      </c>
      <c r="B26" s="2">
        <f t="shared" si="32"/>
        <v>86</v>
      </c>
      <c r="C26" s="2">
        <f t="shared" si="32"/>
        <v>7.5</v>
      </c>
      <c r="D26" s="2">
        <f t="shared" si="33"/>
        <v>5.8</v>
      </c>
      <c r="E26" s="2">
        <f t="shared" si="0"/>
        <v>3373</v>
      </c>
      <c r="F26" s="2">
        <f t="shared" si="1"/>
        <v>3350</v>
      </c>
      <c r="G26" s="2">
        <f t="shared" si="2"/>
        <v>3.5</v>
      </c>
      <c r="H26" s="2">
        <f t="shared" si="3"/>
        <v>1.9</v>
      </c>
      <c r="I26" s="2">
        <f t="shared" si="4"/>
        <v>0.01</v>
      </c>
      <c r="J26" s="2">
        <f t="shared" si="34"/>
        <v>0.28000000000000003</v>
      </c>
      <c r="K26" s="2">
        <f t="shared" si="35"/>
        <v>0.12</v>
      </c>
      <c r="L26" s="2" t="s">
        <v>74</v>
      </c>
      <c r="M26" s="2" t="str">
        <f t="shared" ref="M26:M43" si="37">P3</f>
        <v>0.18(91)</v>
      </c>
      <c r="N26" s="2" t="str">
        <f t="shared" ref="N26:N43" si="38">Q3</f>
        <v>0.18(85)</v>
      </c>
      <c r="O26" s="2" t="str">
        <f t="shared" ref="O26:O43" si="39">R3</f>
        <v>0.24(81)</v>
      </c>
      <c r="P26" s="2" t="str">
        <f t="shared" si="6"/>
        <v>0.25(94)</v>
      </c>
      <c r="Q26" s="2" t="s">
        <v>0</v>
      </c>
      <c r="R26" s="2" t="str">
        <f t="shared" si="7"/>
        <v>0.07(90)</v>
      </c>
      <c r="S26" s="2" t="str">
        <f t="shared" si="7"/>
        <v>0.29(84)</v>
      </c>
      <c r="T26" s="1" t="str">
        <f t="shared" si="8"/>
        <v>0.4(89)</v>
      </c>
      <c r="U26" s="2" t="str">
        <f t="shared" si="9"/>
        <v>0.29(88)</v>
      </c>
      <c r="V26" s="2" t="str">
        <f t="shared" si="10"/>
        <v>1(93)</v>
      </c>
      <c r="W26" s="2" t="str">
        <f t="shared" si="11"/>
        <v>0.42(91)</v>
      </c>
      <c r="X26" s="2" t="str">
        <f t="shared" si="12"/>
        <v>0.42(88)</v>
      </c>
      <c r="Y26" s="2">
        <f t="shared" si="13"/>
        <v>0.04</v>
      </c>
      <c r="Z26" s="2">
        <f t="shared" si="14"/>
        <v>0.08</v>
      </c>
      <c r="AA26" s="2">
        <f t="shared" si="15"/>
        <v>0.02</v>
      </c>
      <c r="AB26" s="2">
        <f t="shared" si="16"/>
        <v>0.33</v>
      </c>
      <c r="AC26" s="2">
        <f t="shared" si="17"/>
        <v>0.08</v>
      </c>
      <c r="AD26" s="2">
        <f t="shared" si="18"/>
        <v>25</v>
      </c>
      <c r="AE26" s="2">
        <f t="shared" si="19"/>
        <v>4.5</v>
      </c>
      <c r="AF26" s="2">
        <f t="shared" si="20"/>
        <v>2.9</v>
      </c>
      <c r="AG26" s="2" t="s">
        <v>0</v>
      </c>
      <c r="AH26" s="2">
        <f t="shared" si="21"/>
        <v>20</v>
      </c>
      <c r="AI26" s="2">
        <f t="shared" si="22"/>
        <v>0.08</v>
      </c>
      <c r="AJ26" s="2" t="s">
        <v>74</v>
      </c>
      <c r="AK26" s="2" t="s">
        <v>74</v>
      </c>
      <c r="AL26" s="2">
        <f t="shared" si="36"/>
        <v>1.7</v>
      </c>
      <c r="AM26" s="2" t="s">
        <v>74</v>
      </c>
      <c r="AN26" s="2">
        <f t="shared" si="23"/>
        <v>22</v>
      </c>
      <c r="AO26" s="2" t="s">
        <v>74</v>
      </c>
      <c r="AP26" s="2">
        <f t="shared" si="24"/>
        <v>2.6</v>
      </c>
      <c r="AQ26" s="2">
        <f t="shared" si="25"/>
        <v>1.1000000000000001</v>
      </c>
      <c r="AR26" s="2">
        <f t="shared" si="26"/>
        <v>21.5</v>
      </c>
      <c r="AS26" s="2">
        <f t="shared" si="27"/>
        <v>3.9</v>
      </c>
      <c r="AT26" s="2" t="s">
        <v>74</v>
      </c>
      <c r="AU26" s="2">
        <f t="shared" si="28"/>
        <v>80</v>
      </c>
      <c r="AV26" s="2">
        <f t="shared" si="29"/>
        <v>116</v>
      </c>
      <c r="AW26" s="2" t="str">
        <f t="shared" si="30"/>
        <v>—</v>
      </c>
      <c r="AX26" s="2" t="s">
        <v>74</v>
      </c>
      <c r="AY26" s="2">
        <f t="shared" si="31"/>
        <v>1100</v>
      </c>
    </row>
    <row r="27" spans="1:51" x14ac:dyDescent="0.25">
      <c r="A27" s="2" t="s">
        <v>1</v>
      </c>
      <c r="B27" s="2">
        <f t="shared" si="32"/>
        <v>89</v>
      </c>
      <c r="C27" s="2">
        <f t="shared" si="32"/>
        <v>11.5</v>
      </c>
      <c r="D27" s="2">
        <f t="shared" si="33"/>
        <v>8.6</v>
      </c>
      <c r="E27" s="2">
        <f t="shared" si="0"/>
        <v>2750</v>
      </c>
      <c r="F27" s="2">
        <f t="shared" si="1"/>
        <v>2870</v>
      </c>
      <c r="G27" s="2">
        <f t="shared" si="2"/>
        <v>1.9</v>
      </c>
      <c r="H27" s="2">
        <f t="shared" si="3"/>
        <v>5</v>
      </c>
      <c r="I27" s="2">
        <f t="shared" si="4"/>
        <v>0.08</v>
      </c>
      <c r="J27" s="2">
        <f t="shared" si="34"/>
        <v>0.42</v>
      </c>
      <c r="K27" s="2">
        <f t="shared" si="35"/>
        <v>0.15</v>
      </c>
      <c r="L27" s="2" t="s">
        <v>74</v>
      </c>
      <c r="M27" s="2" t="str">
        <f t="shared" si="37"/>
        <v>0.18(79)</v>
      </c>
      <c r="N27" s="2" t="str">
        <f t="shared" si="38"/>
        <v>0.25(81)</v>
      </c>
      <c r="O27" s="2" t="str">
        <f t="shared" si="39"/>
        <v>0.53(78)</v>
      </c>
      <c r="P27" s="2" t="str">
        <f t="shared" si="6"/>
        <v>0.23(87)</v>
      </c>
      <c r="Q27" s="2" t="s">
        <v>1</v>
      </c>
      <c r="R27" s="2">
        <f t="shared" si="7"/>
        <v>0.17</v>
      </c>
      <c r="S27" s="2" t="str">
        <f t="shared" si="7"/>
        <v>0.36(77)</v>
      </c>
      <c r="T27" s="1" t="str">
        <f t="shared" si="8"/>
        <v>0.5(85)</v>
      </c>
      <c r="U27" s="2" t="str">
        <f t="shared" si="9"/>
        <v>0.42(82)</v>
      </c>
      <c r="V27" s="2" t="str">
        <f t="shared" si="10"/>
        <v>0.8(86)</v>
      </c>
      <c r="W27" s="2" t="str">
        <f t="shared" si="11"/>
        <v>0.62(88)</v>
      </c>
      <c r="X27" s="2" t="str">
        <f t="shared" si="12"/>
        <v>0.62(81)</v>
      </c>
      <c r="Y27" s="2">
        <f t="shared" si="13"/>
        <v>0.14000000000000001</v>
      </c>
      <c r="Z27" s="2">
        <f t="shared" si="14"/>
        <v>0.12</v>
      </c>
      <c r="AA27" s="2">
        <f t="shared" si="15"/>
        <v>0.03</v>
      </c>
      <c r="AB27" s="2">
        <f t="shared" si="16"/>
        <v>0.56000000000000005</v>
      </c>
      <c r="AC27" s="2">
        <f t="shared" si="17"/>
        <v>0.15</v>
      </c>
      <c r="AD27" s="2">
        <f t="shared" si="18"/>
        <v>80</v>
      </c>
      <c r="AE27" s="2">
        <f t="shared" si="19"/>
        <v>16</v>
      </c>
      <c r="AF27" s="2">
        <f t="shared" si="20"/>
        <v>8</v>
      </c>
      <c r="AG27" s="2" t="s">
        <v>1</v>
      </c>
      <c r="AH27" s="2">
        <f t="shared" si="21"/>
        <v>30</v>
      </c>
      <c r="AI27" s="2">
        <f t="shared" si="22"/>
        <v>0.2</v>
      </c>
      <c r="AJ27" s="2" t="s">
        <v>74</v>
      </c>
      <c r="AK27" s="2" t="s">
        <v>74</v>
      </c>
      <c r="AL27" s="2" t="str">
        <f t="shared" si="36"/>
        <v>—</v>
      </c>
      <c r="AM27" s="2" t="s">
        <v>74</v>
      </c>
      <c r="AN27" s="2">
        <f t="shared" si="23"/>
        <v>36</v>
      </c>
      <c r="AO27" s="2" t="s">
        <v>74</v>
      </c>
      <c r="AP27" s="2">
        <f t="shared" si="24"/>
        <v>5</v>
      </c>
      <c r="AQ27" s="2">
        <f t="shared" si="25"/>
        <v>2</v>
      </c>
      <c r="AR27" s="2">
        <f t="shared" si="26"/>
        <v>57.2</v>
      </c>
      <c r="AS27" s="2">
        <f t="shared" si="27"/>
        <v>6.4</v>
      </c>
      <c r="AT27" s="2" t="s">
        <v>74</v>
      </c>
      <c r="AU27" s="2">
        <f t="shared" si="28"/>
        <v>200</v>
      </c>
      <c r="AV27" s="2">
        <f t="shared" si="29"/>
        <v>397</v>
      </c>
      <c r="AW27" s="2" t="str">
        <f t="shared" si="30"/>
        <v>—</v>
      </c>
      <c r="AX27" s="2" t="s">
        <v>74</v>
      </c>
      <c r="AY27" s="2">
        <f t="shared" si="31"/>
        <v>1027</v>
      </c>
    </row>
    <row r="28" spans="1:51" x14ac:dyDescent="0.25">
      <c r="A28" s="2" t="s">
        <v>2</v>
      </c>
      <c r="B28" s="2">
        <f t="shared" si="32"/>
        <v>91</v>
      </c>
      <c r="C28" s="2">
        <f t="shared" si="32"/>
        <v>13.5</v>
      </c>
      <c r="D28" s="2" t="s">
        <v>367</v>
      </c>
      <c r="E28" s="2">
        <f t="shared" si="0"/>
        <v>2040</v>
      </c>
      <c r="F28" s="2">
        <f t="shared" si="1"/>
        <v>2200</v>
      </c>
      <c r="G28" s="2">
        <f t="shared" si="2"/>
        <v>5.9</v>
      </c>
      <c r="H28" s="2">
        <f t="shared" si="3"/>
        <v>13</v>
      </c>
      <c r="I28" s="2">
        <f t="shared" si="4"/>
        <v>0.1</v>
      </c>
      <c r="J28" s="2">
        <f t="shared" si="34"/>
        <v>1.7</v>
      </c>
      <c r="K28" s="2">
        <f t="shared" si="35"/>
        <v>0.24</v>
      </c>
      <c r="L28" s="2" t="s">
        <v>74</v>
      </c>
      <c r="M28" s="2" t="str">
        <f t="shared" si="37"/>
        <v>0.17(78)</v>
      </c>
      <c r="N28" s="2" t="str">
        <f t="shared" si="38"/>
        <v>0.1(68)</v>
      </c>
      <c r="O28" s="2" t="str">
        <f t="shared" si="39"/>
        <v>0.5(75)</v>
      </c>
      <c r="P28" s="2" t="str">
        <f t="shared" si="6"/>
        <v>0.25(88)</v>
      </c>
      <c r="Q28" s="2" t="s">
        <v>2</v>
      </c>
      <c r="R28" s="2">
        <f t="shared" si="7"/>
        <v>0.1</v>
      </c>
      <c r="S28" s="2" t="str">
        <f t="shared" si="7"/>
        <v>0.4(70)</v>
      </c>
      <c r="T28" s="1" t="str">
        <f t="shared" si="8"/>
        <v>0.45(87)</v>
      </c>
      <c r="U28" s="2" t="str">
        <f t="shared" si="9"/>
        <v>0.39(77)</v>
      </c>
      <c r="V28" s="2" t="str">
        <f t="shared" si="10"/>
        <v>1.2(76)</v>
      </c>
      <c r="W28" s="2" t="str">
        <f t="shared" si="11"/>
        <v>0.41(77)</v>
      </c>
      <c r="X28" s="2" t="str">
        <f t="shared" si="12"/>
        <v>0.6(77)</v>
      </c>
      <c r="Y28" s="2">
        <f t="shared" si="13"/>
        <v>7.0000000000000007E-2</v>
      </c>
      <c r="Z28" s="2">
        <f t="shared" si="14"/>
        <v>1</v>
      </c>
      <c r="AA28" s="2">
        <f t="shared" si="15"/>
        <v>0.1</v>
      </c>
      <c r="AB28" s="2">
        <f t="shared" si="16"/>
        <v>1.35</v>
      </c>
      <c r="AC28" s="2">
        <f t="shared" si="17"/>
        <v>0.18</v>
      </c>
      <c r="AD28" s="2">
        <f t="shared" si="18"/>
        <v>190</v>
      </c>
      <c r="AE28" s="2">
        <f t="shared" si="19"/>
        <v>200</v>
      </c>
      <c r="AF28" s="2">
        <f t="shared" si="20"/>
        <v>13</v>
      </c>
      <c r="AG28" s="2" t="s">
        <v>2</v>
      </c>
      <c r="AH28" s="2">
        <f t="shared" si="21"/>
        <v>30</v>
      </c>
      <c r="AI28" s="2">
        <f t="shared" si="22"/>
        <v>0.4</v>
      </c>
      <c r="AJ28" s="2" t="s">
        <v>74</v>
      </c>
      <c r="AK28" s="2" t="s">
        <v>74</v>
      </c>
      <c r="AL28" s="2" t="str">
        <f t="shared" si="36"/>
        <v>—</v>
      </c>
      <c r="AM28" s="2" t="s">
        <v>74</v>
      </c>
      <c r="AN28" s="2">
        <f t="shared" si="23"/>
        <v>60.8</v>
      </c>
      <c r="AO28" s="2" t="s">
        <v>74</v>
      </c>
      <c r="AP28" s="2">
        <f t="shared" si="24"/>
        <v>22.8</v>
      </c>
      <c r="AQ28" s="2">
        <f t="shared" si="25"/>
        <v>3</v>
      </c>
      <c r="AR28" s="2">
        <f t="shared" si="26"/>
        <v>303</v>
      </c>
      <c r="AS28" s="2">
        <f t="shared" si="27"/>
        <v>22</v>
      </c>
      <c r="AT28" s="2" t="s">
        <v>74</v>
      </c>
      <c r="AU28" s="2">
        <f t="shared" si="28"/>
        <v>4200</v>
      </c>
      <c r="AV28" s="2" t="str">
        <f t="shared" si="29"/>
        <v>n/a</v>
      </c>
      <c r="AW28" s="2" t="str">
        <f t="shared" si="30"/>
        <v>—</v>
      </c>
      <c r="AX28" s="2" t="s">
        <v>74</v>
      </c>
      <c r="AY28" s="2">
        <f t="shared" si="31"/>
        <v>1390</v>
      </c>
    </row>
    <row r="29" spans="1:51" x14ac:dyDescent="0.25">
      <c r="A29" s="2" t="s">
        <v>3</v>
      </c>
      <c r="B29" s="2">
        <f t="shared" si="32"/>
        <v>89</v>
      </c>
      <c r="C29" s="2">
        <f t="shared" si="32"/>
        <v>14.8</v>
      </c>
      <c r="D29" s="2">
        <f t="shared" si="33"/>
        <v>11.5</v>
      </c>
      <c r="E29" s="2">
        <f t="shared" si="0"/>
        <v>1300</v>
      </c>
      <c r="F29" s="2">
        <f t="shared" si="1"/>
        <v>2320</v>
      </c>
      <c r="G29" s="2">
        <f t="shared" si="2"/>
        <v>4</v>
      </c>
      <c r="H29" s="2">
        <f t="shared" si="3"/>
        <v>10</v>
      </c>
      <c r="I29" s="2">
        <f t="shared" si="4"/>
        <v>0.14000000000000001</v>
      </c>
      <c r="J29" s="2">
        <f t="shared" si="34"/>
        <v>1.17</v>
      </c>
      <c r="K29" s="2">
        <f t="shared" si="35"/>
        <v>0.38</v>
      </c>
      <c r="L29" s="2" t="s">
        <v>74</v>
      </c>
      <c r="M29" s="2">
        <f t="shared" si="37"/>
        <v>0.2</v>
      </c>
      <c r="N29" s="2">
        <f t="shared" si="38"/>
        <v>0.3</v>
      </c>
      <c r="O29" s="2">
        <f t="shared" si="39"/>
        <v>0.6</v>
      </c>
      <c r="P29" s="2">
        <f t="shared" si="6"/>
        <v>0.3</v>
      </c>
      <c r="Q29" s="2" t="s">
        <v>3</v>
      </c>
      <c r="R29" s="2">
        <f t="shared" si="7"/>
        <v>0.3</v>
      </c>
      <c r="S29" s="2">
        <f t="shared" si="7"/>
        <v>0.48</v>
      </c>
      <c r="T29" s="1">
        <f t="shared" si="8"/>
        <v>1.07</v>
      </c>
      <c r="U29" s="2">
        <f t="shared" si="9"/>
        <v>0.6</v>
      </c>
      <c r="V29" s="2">
        <f t="shared" si="10"/>
        <v>0.9</v>
      </c>
      <c r="W29" s="2">
        <f t="shared" si="11"/>
        <v>0.56999999999999995</v>
      </c>
      <c r="X29" s="2">
        <f t="shared" si="12"/>
        <v>0.7</v>
      </c>
      <c r="Y29" s="2">
        <f t="shared" si="13"/>
        <v>0.14000000000000001</v>
      </c>
      <c r="Z29" s="2">
        <f t="shared" si="14"/>
        <v>0.55000000000000004</v>
      </c>
      <c r="AA29" s="2">
        <f t="shared" si="15"/>
        <v>0.06</v>
      </c>
      <c r="AB29" s="2">
        <f t="shared" si="16"/>
        <v>1.2</v>
      </c>
      <c r="AC29" s="2">
        <f t="shared" si="17"/>
        <v>0.22</v>
      </c>
      <c r="AD29" s="2">
        <f t="shared" si="18"/>
        <v>170</v>
      </c>
      <c r="AE29" s="2">
        <f t="shared" si="19"/>
        <v>100</v>
      </c>
      <c r="AF29" s="2">
        <f t="shared" si="20"/>
        <v>10.3</v>
      </c>
      <c r="AG29" s="2" t="s">
        <v>3</v>
      </c>
      <c r="AH29" s="2">
        <f t="shared" si="21"/>
        <v>95</v>
      </c>
      <c r="AI29" s="2">
        <f t="shared" si="22"/>
        <v>0.8</v>
      </c>
      <c r="AJ29" s="2" t="s">
        <v>74</v>
      </c>
      <c r="AK29" s="2" t="s">
        <v>74</v>
      </c>
      <c r="AL29" s="2" t="str">
        <f t="shared" si="36"/>
        <v>—</v>
      </c>
      <c r="AM29" s="2" t="s">
        <v>74</v>
      </c>
      <c r="AN29" s="2">
        <f t="shared" si="23"/>
        <v>10.8</v>
      </c>
      <c r="AO29" s="2" t="s">
        <v>74</v>
      </c>
      <c r="AP29" s="2">
        <f t="shared" si="24"/>
        <v>6</v>
      </c>
      <c r="AQ29" s="2">
        <f t="shared" si="25"/>
        <v>3.1</v>
      </c>
      <c r="AR29" s="2">
        <f t="shared" si="26"/>
        <v>321</v>
      </c>
      <c r="AS29" s="2">
        <f t="shared" si="27"/>
        <v>29</v>
      </c>
      <c r="AT29" s="2" t="s">
        <v>74</v>
      </c>
      <c r="AU29" s="2">
        <f t="shared" si="28"/>
        <v>110</v>
      </c>
      <c r="AV29" s="2">
        <f t="shared" si="29"/>
        <v>1800</v>
      </c>
      <c r="AW29" s="2" t="str">
        <f t="shared" si="30"/>
        <v>—</v>
      </c>
      <c r="AX29" s="2" t="s">
        <v>74</v>
      </c>
      <c r="AY29" s="2">
        <f t="shared" si="31"/>
        <v>980</v>
      </c>
    </row>
    <row r="30" spans="1:51" x14ac:dyDescent="0.25">
      <c r="A30" s="2" t="s">
        <v>4</v>
      </c>
      <c r="B30" s="2">
        <f t="shared" si="32"/>
        <v>89</v>
      </c>
      <c r="C30" s="2">
        <f t="shared" si="32"/>
        <v>15</v>
      </c>
      <c r="D30" s="2">
        <f t="shared" si="33"/>
        <v>12.2</v>
      </c>
      <c r="E30" s="2">
        <f t="shared" si="0"/>
        <v>2090</v>
      </c>
      <c r="F30" s="2">
        <f t="shared" si="1"/>
        <v>2200</v>
      </c>
      <c r="G30" s="2">
        <f t="shared" si="2"/>
        <v>3.6</v>
      </c>
      <c r="H30" s="2">
        <f t="shared" si="3"/>
        <v>8.5</v>
      </c>
      <c r="I30" s="2">
        <f t="shared" si="4"/>
        <v>0.15</v>
      </c>
      <c r="J30" s="2">
        <f t="shared" si="34"/>
        <v>1.17</v>
      </c>
      <c r="K30" s="2">
        <f t="shared" si="35"/>
        <v>0.45</v>
      </c>
      <c r="L30" s="2" t="s">
        <v>74</v>
      </c>
      <c r="M30" s="2">
        <f t="shared" si="37"/>
        <v>0.12</v>
      </c>
      <c r="N30" s="2">
        <f t="shared" si="38"/>
        <v>0.19</v>
      </c>
      <c r="O30" s="2">
        <f t="shared" si="39"/>
        <v>0.7</v>
      </c>
      <c r="P30" s="2">
        <f t="shared" si="6"/>
        <v>0.4</v>
      </c>
      <c r="Q30" s="2" t="s">
        <v>4</v>
      </c>
      <c r="R30" s="2">
        <f t="shared" si="7"/>
        <v>0.2</v>
      </c>
      <c r="S30" s="2">
        <f t="shared" si="7"/>
        <v>0.5</v>
      </c>
      <c r="T30" s="1">
        <f t="shared" si="8"/>
        <v>1</v>
      </c>
      <c r="U30" s="2">
        <f t="shared" si="9"/>
        <v>0.7</v>
      </c>
      <c r="V30" s="2">
        <f t="shared" si="10"/>
        <v>1.1000000000000001</v>
      </c>
      <c r="W30" s="2">
        <f t="shared" si="11"/>
        <v>0.5</v>
      </c>
      <c r="X30" s="2">
        <f t="shared" si="12"/>
        <v>0.8</v>
      </c>
      <c r="Y30" s="2">
        <f t="shared" si="13"/>
        <v>7.0000000000000007E-2</v>
      </c>
      <c r="Z30" s="2">
        <f t="shared" si="14"/>
        <v>0.28999999999999998</v>
      </c>
      <c r="AA30" s="2">
        <f t="shared" si="15"/>
        <v>0.06</v>
      </c>
      <c r="AB30" s="2">
        <f t="shared" si="16"/>
        <v>0.6</v>
      </c>
      <c r="AC30" s="2">
        <f t="shared" si="17"/>
        <v>0.16</v>
      </c>
      <c r="AD30" s="2">
        <f t="shared" si="18"/>
        <v>60</v>
      </c>
      <c r="AE30" s="2">
        <f t="shared" si="19"/>
        <v>100</v>
      </c>
      <c r="AF30" s="2">
        <f t="shared" si="20"/>
        <v>8</v>
      </c>
      <c r="AG30" s="2" t="s">
        <v>4</v>
      </c>
      <c r="AH30" s="2">
        <f t="shared" si="21"/>
        <v>100</v>
      </c>
      <c r="AI30" s="2">
        <f t="shared" si="22"/>
        <v>0.6</v>
      </c>
      <c r="AJ30" s="2" t="s">
        <v>74</v>
      </c>
      <c r="AK30" s="2" t="s">
        <v>74</v>
      </c>
      <c r="AL30" s="2">
        <f t="shared" si="36"/>
        <v>5.2</v>
      </c>
      <c r="AM30" s="2" t="s">
        <v>74</v>
      </c>
      <c r="AN30" s="2">
        <f t="shared" si="23"/>
        <v>57.6</v>
      </c>
      <c r="AO30" s="2" t="s">
        <v>74</v>
      </c>
      <c r="AP30" s="2">
        <f t="shared" si="24"/>
        <v>18.899999999999999</v>
      </c>
      <c r="AQ30" s="2">
        <f t="shared" si="25"/>
        <v>1.5</v>
      </c>
      <c r="AR30" s="2">
        <f t="shared" si="26"/>
        <v>52.6</v>
      </c>
      <c r="AS30" s="2">
        <f t="shared" si="27"/>
        <v>13.6</v>
      </c>
      <c r="AT30" s="2" t="s">
        <v>74</v>
      </c>
      <c r="AU30" s="2">
        <f t="shared" si="28"/>
        <v>110</v>
      </c>
      <c r="AV30" s="2">
        <f t="shared" si="29"/>
        <v>560</v>
      </c>
      <c r="AW30" s="2" t="str">
        <f t="shared" si="30"/>
        <v>—</v>
      </c>
      <c r="AX30" s="2" t="s">
        <v>74</v>
      </c>
      <c r="AY30" s="2">
        <f t="shared" si="31"/>
        <v>1100</v>
      </c>
    </row>
    <row r="31" spans="1:51" x14ac:dyDescent="0.25">
      <c r="A31" s="2" t="s">
        <v>103</v>
      </c>
      <c r="B31" s="2">
        <f t="shared" si="32"/>
        <v>99</v>
      </c>
      <c r="C31" s="2">
        <f t="shared" si="32"/>
        <v>0</v>
      </c>
      <c r="D31" s="2" t="str">
        <f t="shared" si="33"/>
        <v>—</v>
      </c>
      <c r="E31" s="2">
        <f t="shared" si="0"/>
        <v>8800</v>
      </c>
      <c r="F31" s="2">
        <f t="shared" si="1"/>
        <v>8700</v>
      </c>
      <c r="G31" s="2">
        <f t="shared" si="2"/>
        <v>99</v>
      </c>
      <c r="H31" s="2" t="str">
        <f t="shared" si="3"/>
        <v>—</v>
      </c>
      <c r="I31" s="2" t="str">
        <f t="shared" si="4"/>
        <v>—</v>
      </c>
      <c r="J31" s="2" t="str">
        <f t="shared" si="34"/>
        <v>—</v>
      </c>
      <c r="K31" s="2" t="str">
        <f t="shared" si="35"/>
        <v>—</v>
      </c>
      <c r="L31" s="2" t="s">
        <v>74</v>
      </c>
      <c r="M31" s="2" t="str">
        <f t="shared" si="37"/>
        <v>—</v>
      </c>
      <c r="N31" s="2" t="str">
        <f t="shared" si="38"/>
        <v>—</v>
      </c>
      <c r="O31" s="2" t="str">
        <f t="shared" si="39"/>
        <v>—</v>
      </c>
      <c r="P31" s="2" t="str">
        <f t="shared" si="6"/>
        <v>—</v>
      </c>
      <c r="Q31" s="2" t="s">
        <v>103</v>
      </c>
      <c r="R31" s="2" t="str">
        <f t="shared" si="7"/>
        <v>—</v>
      </c>
      <c r="S31" s="2" t="str">
        <f t="shared" si="7"/>
        <v>—</v>
      </c>
      <c r="T31" s="1" t="str">
        <f t="shared" si="8"/>
        <v>—</v>
      </c>
      <c r="U31" s="2" t="str">
        <f t="shared" si="9"/>
        <v>—</v>
      </c>
      <c r="V31" s="2" t="str">
        <f t="shared" si="10"/>
        <v>—</v>
      </c>
      <c r="W31" s="2" t="str">
        <f t="shared" si="11"/>
        <v>—</v>
      </c>
      <c r="X31" s="2" t="str">
        <f t="shared" si="12"/>
        <v>—</v>
      </c>
      <c r="Y31" s="2" t="str">
        <f t="shared" si="13"/>
        <v>—</v>
      </c>
      <c r="Z31" s="2" t="str">
        <f t="shared" si="14"/>
        <v>—</v>
      </c>
      <c r="AA31" s="2" t="str">
        <f t="shared" si="15"/>
        <v>—</v>
      </c>
      <c r="AB31" s="2" t="str">
        <f t="shared" si="16"/>
        <v>—</v>
      </c>
      <c r="AC31" s="2" t="str">
        <f t="shared" si="17"/>
        <v>—</v>
      </c>
      <c r="AD31" s="2" t="str">
        <f t="shared" si="18"/>
        <v>—</v>
      </c>
      <c r="AE31" s="2" t="str">
        <f t="shared" si="19"/>
        <v>—</v>
      </c>
      <c r="AF31" s="2" t="str">
        <f t="shared" si="20"/>
        <v>—</v>
      </c>
      <c r="AG31" s="2" t="s">
        <v>103</v>
      </c>
      <c r="AH31" s="2" t="str">
        <f t="shared" si="21"/>
        <v>—</v>
      </c>
      <c r="AI31" s="2" t="str">
        <f t="shared" si="22"/>
        <v>—</v>
      </c>
      <c r="AJ31" s="2" t="s">
        <v>74</v>
      </c>
      <c r="AK31" s="2" t="s">
        <v>74</v>
      </c>
      <c r="AL31" s="2" t="str">
        <f t="shared" si="36"/>
        <v>—</v>
      </c>
      <c r="AM31" s="2" t="s">
        <v>74</v>
      </c>
      <c r="AN31" s="2">
        <f t="shared" si="23"/>
        <v>56.8</v>
      </c>
      <c r="AO31" s="2" t="s">
        <v>74</v>
      </c>
      <c r="AP31" s="2" t="str">
        <f t="shared" si="24"/>
        <v>—</v>
      </c>
      <c r="AQ31" s="2" t="str">
        <f t="shared" si="25"/>
        <v>—</v>
      </c>
      <c r="AR31" s="2" t="str">
        <f t="shared" si="26"/>
        <v>—</v>
      </c>
      <c r="AS31" s="2" t="str">
        <f t="shared" si="27"/>
        <v>—</v>
      </c>
      <c r="AT31" s="2" t="s">
        <v>74</v>
      </c>
      <c r="AU31" s="2" t="str">
        <f t="shared" si="28"/>
        <v>—</v>
      </c>
      <c r="AV31" s="2" t="str">
        <f t="shared" si="29"/>
        <v>—</v>
      </c>
      <c r="AW31" s="2" t="str">
        <f t="shared" si="30"/>
        <v>—</v>
      </c>
      <c r="AX31" s="2" t="s">
        <v>74</v>
      </c>
      <c r="AY31" s="2" t="str">
        <f t="shared" si="31"/>
        <v>—</v>
      </c>
    </row>
    <row r="32" spans="1:51" x14ac:dyDescent="0.25">
      <c r="A32" s="2" t="s">
        <v>104</v>
      </c>
      <c r="B32" s="2">
        <f t="shared" si="32"/>
        <v>99</v>
      </c>
      <c r="C32" s="2">
        <f t="shared" si="32"/>
        <v>0</v>
      </c>
      <c r="D32" s="2" t="str">
        <f t="shared" si="33"/>
        <v>—</v>
      </c>
      <c r="E32" s="2">
        <f t="shared" si="0"/>
        <v>7920</v>
      </c>
      <c r="F32" s="2">
        <f t="shared" si="1"/>
        <v>7950</v>
      </c>
      <c r="G32" s="2">
        <f t="shared" si="2"/>
        <v>98</v>
      </c>
      <c r="H32" s="2" t="str">
        <f t="shared" si="3"/>
        <v>—</v>
      </c>
      <c r="I32" s="2" t="str">
        <f t="shared" si="4"/>
        <v>—</v>
      </c>
      <c r="J32" s="2" t="str">
        <f t="shared" si="34"/>
        <v>—</v>
      </c>
      <c r="K32" s="2" t="str">
        <f t="shared" si="35"/>
        <v>—</v>
      </c>
      <c r="L32" s="2" t="s">
        <v>74</v>
      </c>
      <c r="M32" s="2" t="str">
        <f t="shared" si="37"/>
        <v>—</v>
      </c>
      <c r="N32" s="2" t="str">
        <f t="shared" si="38"/>
        <v>—</v>
      </c>
      <c r="O32" s="2" t="str">
        <f t="shared" si="39"/>
        <v>—</v>
      </c>
      <c r="P32" s="2" t="str">
        <f t="shared" si="6"/>
        <v>—</v>
      </c>
      <c r="Q32" s="2" t="s">
        <v>104</v>
      </c>
      <c r="R32" s="2" t="str">
        <f t="shared" si="7"/>
        <v>—</v>
      </c>
      <c r="S32" s="2" t="str">
        <f t="shared" si="7"/>
        <v>—</v>
      </c>
      <c r="T32" s="1" t="str">
        <f t="shared" si="8"/>
        <v>—</v>
      </c>
      <c r="U32" s="2" t="str">
        <f t="shared" si="9"/>
        <v>—</v>
      </c>
      <c r="V32" s="2" t="str">
        <f t="shared" si="10"/>
        <v>—</v>
      </c>
      <c r="W32" s="2" t="str">
        <f t="shared" si="11"/>
        <v>—</v>
      </c>
      <c r="X32" s="2" t="str">
        <f t="shared" si="12"/>
        <v>—</v>
      </c>
      <c r="Y32" s="2" t="str">
        <f t="shared" si="13"/>
        <v>—</v>
      </c>
      <c r="Z32" s="2" t="str">
        <f t="shared" si="14"/>
        <v>—</v>
      </c>
      <c r="AA32" s="2" t="str">
        <f t="shared" si="15"/>
        <v>—</v>
      </c>
      <c r="AB32" s="2" t="str">
        <f t="shared" si="16"/>
        <v>—</v>
      </c>
      <c r="AC32" s="2" t="str">
        <f t="shared" si="17"/>
        <v>—</v>
      </c>
      <c r="AD32" s="2" t="str">
        <f t="shared" si="18"/>
        <v>—</v>
      </c>
      <c r="AE32" s="2" t="str">
        <f t="shared" si="19"/>
        <v>—</v>
      </c>
      <c r="AF32" s="2" t="str">
        <f t="shared" si="20"/>
        <v>—</v>
      </c>
      <c r="AG32" s="2" t="s">
        <v>104</v>
      </c>
      <c r="AH32" s="2" t="str">
        <f t="shared" si="21"/>
        <v>—</v>
      </c>
      <c r="AI32" s="2" t="str">
        <f t="shared" si="22"/>
        <v>—</v>
      </c>
      <c r="AJ32" s="2" t="s">
        <v>74</v>
      </c>
      <c r="AK32" s="2" t="s">
        <v>74</v>
      </c>
      <c r="AL32" s="2" t="str">
        <f t="shared" si="36"/>
        <v>—</v>
      </c>
      <c r="AM32" s="2" t="s">
        <v>74</v>
      </c>
      <c r="AN32" s="2">
        <f t="shared" si="23"/>
        <v>7.9</v>
      </c>
      <c r="AO32" s="2" t="s">
        <v>74</v>
      </c>
      <c r="AP32" s="2" t="str">
        <f t="shared" si="24"/>
        <v>—</v>
      </c>
      <c r="AQ32" s="2" t="str">
        <f t="shared" si="25"/>
        <v>—</v>
      </c>
      <c r="AR32" s="2" t="str">
        <f t="shared" si="26"/>
        <v>—</v>
      </c>
      <c r="AS32" s="2" t="str">
        <f t="shared" si="27"/>
        <v>—</v>
      </c>
      <c r="AT32" s="2" t="s">
        <v>74</v>
      </c>
      <c r="AU32" s="2" t="str">
        <f t="shared" si="28"/>
        <v>—</v>
      </c>
      <c r="AV32" s="2" t="str">
        <f t="shared" si="29"/>
        <v>—</v>
      </c>
      <c r="AW32" s="2" t="str">
        <f t="shared" si="30"/>
        <v>—</v>
      </c>
      <c r="AX32" s="2" t="s">
        <v>74</v>
      </c>
      <c r="AY32" s="2" t="str">
        <f t="shared" si="31"/>
        <v>—</v>
      </c>
    </row>
    <row r="33" spans="1:51" x14ac:dyDescent="0.25">
      <c r="A33" s="2" t="s">
        <v>102</v>
      </c>
      <c r="B33" s="2">
        <f t="shared" si="32"/>
        <v>99</v>
      </c>
      <c r="C33" s="2">
        <f t="shared" si="32"/>
        <v>0</v>
      </c>
      <c r="D33" s="2" t="str">
        <f t="shared" si="33"/>
        <v>—</v>
      </c>
      <c r="E33" s="2">
        <f t="shared" si="0"/>
        <v>8250</v>
      </c>
      <c r="F33" s="2">
        <f t="shared" si="1"/>
        <v>8250</v>
      </c>
      <c r="G33" s="2">
        <f t="shared" si="2"/>
        <v>98</v>
      </c>
      <c r="H33" s="2" t="str">
        <f t="shared" si="3"/>
        <v>—</v>
      </c>
      <c r="I33" s="2" t="str">
        <f t="shared" si="4"/>
        <v>—</v>
      </c>
      <c r="J33" s="2" t="str">
        <f t="shared" si="34"/>
        <v>—</v>
      </c>
      <c r="K33" s="2" t="str">
        <f t="shared" si="35"/>
        <v>—</v>
      </c>
      <c r="L33" s="2" t="s">
        <v>74</v>
      </c>
      <c r="M33" s="2" t="str">
        <f t="shared" si="37"/>
        <v>—</v>
      </c>
      <c r="N33" s="2" t="str">
        <f t="shared" si="38"/>
        <v>—</v>
      </c>
      <c r="O33" s="2" t="str">
        <f t="shared" si="39"/>
        <v>—</v>
      </c>
      <c r="P33" s="2" t="str">
        <f t="shared" si="6"/>
        <v>—</v>
      </c>
      <c r="Q33" s="2" t="s">
        <v>102</v>
      </c>
      <c r="R33" s="2" t="str">
        <f t="shared" si="7"/>
        <v>—</v>
      </c>
      <c r="S33" s="2" t="str">
        <f t="shared" si="7"/>
        <v>—</v>
      </c>
      <c r="T33" s="1" t="str">
        <f t="shared" si="8"/>
        <v>—</v>
      </c>
      <c r="U33" s="2" t="str">
        <f t="shared" si="9"/>
        <v>—</v>
      </c>
      <c r="V33" s="2" t="str">
        <f t="shared" si="10"/>
        <v>—</v>
      </c>
      <c r="W33" s="2" t="str">
        <f t="shared" si="11"/>
        <v>—</v>
      </c>
      <c r="X33" s="2" t="str">
        <f t="shared" si="12"/>
        <v>—</v>
      </c>
      <c r="Y33" s="2" t="str">
        <f t="shared" si="13"/>
        <v>—</v>
      </c>
      <c r="Z33" s="2" t="str">
        <f t="shared" si="14"/>
        <v>—</v>
      </c>
      <c r="AA33" s="2" t="str">
        <f t="shared" si="15"/>
        <v>—</v>
      </c>
      <c r="AB33" s="2" t="str">
        <f t="shared" si="16"/>
        <v>—</v>
      </c>
      <c r="AC33" s="2" t="str">
        <f t="shared" si="17"/>
        <v>—</v>
      </c>
      <c r="AD33" s="2" t="str">
        <f t="shared" si="18"/>
        <v>—</v>
      </c>
      <c r="AE33" s="2" t="str">
        <f t="shared" si="19"/>
        <v>—</v>
      </c>
      <c r="AF33" s="2" t="str">
        <f t="shared" si="20"/>
        <v>—</v>
      </c>
      <c r="AG33" s="2" t="s">
        <v>102</v>
      </c>
      <c r="AH33" s="2" t="str">
        <f t="shared" si="21"/>
        <v>—</v>
      </c>
      <c r="AI33" s="2" t="str">
        <f t="shared" si="22"/>
        <v>—</v>
      </c>
      <c r="AJ33" s="2" t="s">
        <v>74</v>
      </c>
      <c r="AK33" s="2" t="s">
        <v>74</v>
      </c>
      <c r="AL33" s="2" t="str">
        <f t="shared" si="36"/>
        <v>—</v>
      </c>
      <c r="AM33" s="2" t="s">
        <v>74</v>
      </c>
      <c r="AN33" s="2" t="str">
        <f t="shared" si="23"/>
        <v>—</v>
      </c>
      <c r="AO33" s="2" t="s">
        <v>74</v>
      </c>
      <c r="AP33" s="2" t="str">
        <f t="shared" si="24"/>
        <v>—</v>
      </c>
      <c r="AQ33" s="2" t="str">
        <f t="shared" si="25"/>
        <v>—</v>
      </c>
      <c r="AR33" s="2" t="str">
        <f t="shared" si="26"/>
        <v>—</v>
      </c>
      <c r="AS33" s="2" t="str">
        <f t="shared" si="27"/>
        <v>—</v>
      </c>
      <c r="AT33" s="2" t="s">
        <v>74</v>
      </c>
      <c r="AU33" s="2" t="str">
        <f t="shared" si="28"/>
        <v>—</v>
      </c>
      <c r="AV33" s="2" t="str">
        <f t="shared" si="29"/>
        <v>—</v>
      </c>
      <c r="AW33" s="2" t="str">
        <f t="shared" si="30"/>
        <v>—</v>
      </c>
      <c r="AX33" s="2" t="s">
        <v>74</v>
      </c>
      <c r="AY33" s="2" t="str">
        <f t="shared" si="31"/>
        <v>—</v>
      </c>
    </row>
    <row r="34" spans="1:51" x14ac:dyDescent="0.25">
      <c r="A34" s="2" t="s">
        <v>8</v>
      </c>
      <c r="B34" s="2">
        <f t="shared" si="32"/>
        <v>0</v>
      </c>
      <c r="C34" s="2">
        <f t="shared" si="32"/>
        <v>0</v>
      </c>
      <c r="D34" s="2">
        <f t="shared" si="33"/>
        <v>0</v>
      </c>
      <c r="E34" s="2">
        <f t="shared" si="0"/>
        <v>0</v>
      </c>
      <c r="F34" s="2">
        <f t="shared" si="1"/>
        <v>0</v>
      </c>
      <c r="G34" s="2">
        <f t="shared" si="2"/>
        <v>0</v>
      </c>
      <c r="H34" s="2">
        <f t="shared" si="3"/>
        <v>0</v>
      </c>
      <c r="I34" s="2">
        <f t="shared" si="4"/>
        <v>0</v>
      </c>
      <c r="J34" s="2">
        <f t="shared" si="34"/>
        <v>0</v>
      </c>
      <c r="K34" s="2">
        <f t="shared" si="35"/>
        <v>0</v>
      </c>
      <c r="L34" s="2" t="s">
        <v>74</v>
      </c>
      <c r="M34" s="2">
        <f t="shared" si="37"/>
        <v>0</v>
      </c>
      <c r="N34" s="2">
        <f t="shared" si="38"/>
        <v>0</v>
      </c>
      <c r="O34" s="2">
        <f t="shared" si="39"/>
        <v>0</v>
      </c>
      <c r="P34" s="2">
        <f t="shared" si="6"/>
        <v>0</v>
      </c>
      <c r="Q34" s="2" t="s">
        <v>8</v>
      </c>
      <c r="R34" s="2">
        <f t="shared" si="7"/>
        <v>0</v>
      </c>
      <c r="S34" s="2">
        <f t="shared" si="7"/>
        <v>0</v>
      </c>
      <c r="T34" s="1">
        <f t="shared" si="8"/>
        <v>0</v>
      </c>
      <c r="U34" s="2">
        <f t="shared" si="9"/>
        <v>0</v>
      </c>
      <c r="V34" s="2">
        <f t="shared" si="10"/>
        <v>0</v>
      </c>
      <c r="W34" s="2">
        <f t="shared" si="11"/>
        <v>0</v>
      </c>
      <c r="X34" s="2">
        <f t="shared" si="12"/>
        <v>0</v>
      </c>
      <c r="Y34" s="2">
        <f t="shared" si="13"/>
        <v>0</v>
      </c>
      <c r="Z34" s="2">
        <f t="shared" si="14"/>
        <v>0</v>
      </c>
      <c r="AA34" s="2">
        <f t="shared" si="15"/>
        <v>0</v>
      </c>
      <c r="AB34" s="2">
        <f t="shared" si="16"/>
        <v>0</v>
      </c>
      <c r="AC34" s="2">
        <f t="shared" si="17"/>
        <v>0</v>
      </c>
      <c r="AD34" s="2">
        <f t="shared" si="18"/>
        <v>0</v>
      </c>
      <c r="AE34" s="2">
        <f t="shared" si="19"/>
        <v>0</v>
      </c>
      <c r="AF34" s="2">
        <f t="shared" si="20"/>
        <v>0</v>
      </c>
      <c r="AG34" s="2" t="s">
        <v>8</v>
      </c>
      <c r="AH34" s="2">
        <f t="shared" si="21"/>
        <v>0</v>
      </c>
      <c r="AI34" s="2">
        <f t="shared" si="22"/>
        <v>0</v>
      </c>
      <c r="AJ34" s="2" t="s">
        <v>74</v>
      </c>
      <c r="AK34" s="2" t="s">
        <v>74</v>
      </c>
      <c r="AL34" s="2">
        <f t="shared" si="36"/>
        <v>0</v>
      </c>
      <c r="AM34" s="2" t="s">
        <v>74</v>
      </c>
      <c r="AN34" s="2">
        <f t="shared" si="23"/>
        <v>0</v>
      </c>
      <c r="AO34" s="2" t="s">
        <v>74</v>
      </c>
      <c r="AP34" s="2">
        <f t="shared" si="24"/>
        <v>0</v>
      </c>
      <c r="AQ34" s="2">
        <f t="shared" si="25"/>
        <v>0</v>
      </c>
      <c r="AR34" s="2">
        <f t="shared" si="26"/>
        <v>0</v>
      </c>
      <c r="AS34" s="2">
        <f t="shared" si="27"/>
        <v>0</v>
      </c>
      <c r="AT34" s="2" t="s">
        <v>74</v>
      </c>
      <c r="AU34" s="2">
        <f t="shared" si="28"/>
        <v>0</v>
      </c>
      <c r="AV34" s="2">
        <f t="shared" si="29"/>
        <v>0</v>
      </c>
      <c r="AW34" s="2">
        <f t="shared" si="30"/>
        <v>0</v>
      </c>
      <c r="AX34" s="2" t="s">
        <v>74</v>
      </c>
      <c r="AY34" s="2">
        <f t="shared" si="31"/>
        <v>0</v>
      </c>
    </row>
    <row r="35" spans="1:51" x14ac:dyDescent="0.25">
      <c r="A35" s="2" t="s">
        <v>9</v>
      </c>
      <c r="B35" s="2">
        <f t="shared" si="32"/>
        <v>90</v>
      </c>
      <c r="C35" s="2">
        <f t="shared" si="32"/>
        <v>44</v>
      </c>
      <c r="D35" s="2">
        <f t="shared" si="33"/>
        <v>37.5</v>
      </c>
      <c r="E35" s="2">
        <f t="shared" si="0"/>
        <v>2240</v>
      </c>
      <c r="F35" s="2">
        <f t="shared" si="1"/>
        <v>3090</v>
      </c>
      <c r="G35" s="2">
        <f t="shared" si="2"/>
        <v>0.5</v>
      </c>
      <c r="H35" s="2">
        <f t="shared" si="3"/>
        <v>7</v>
      </c>
      <c r="I35" s="2">
        <f t="shared" si="4"/>
        <v>0.25</v>
      </c>
      <c r="J35" s="2">
        <f t="shared" si="34"/>
        <v>0.6</v>
      </c>
      <c r="K35" s="2">
        <f t="shared" si="35"/>
        <v>0.2</v>
      </c>
      <c r="L35" s="2" t="s">
        <v>74</v>
      </c>
      <c r="M35" s="2">
        <f t="shared" si="37"/>
        <v>0.65</v>
      </c>
      <c r="N35" s="2">
        <f t="shared" si="38"/>
        <v>0.67</v>
      </c>
      <c r="O35" s="2">
        <f t="shared" si="39"/>
        <v>2.7</v>
      </c>
      <c r="P35" s="2">
        <f t="shared" si="6"/>
        <v>1.1000000000000001</v>
      </c>
      <c r="Q35" s="2" t="s">
        <v>9</v>
      </c>
      <c r="R35" s="20">
        <f t="shared" si="7"/>
        <v>0.6</v>
      </c>
      <c r="S35" s="2">
        <f t="shared" si="7"/>
        <v>1.7</v>
      </c>
      <c r="T35" s="1">
        <f t="shared" si="8"/>
        <v>3.4</v>
      </c>
      <c r="U35" s="2">
        <f t="shared" si="9"/>
        <v>2.5</v>
      </c>
      <c r="V35" s="20">
        <f t="shared" si="10"/>
        <v>3.4</v>
      </c>
      <c r="W35" s="2">
        <f t="shared" si="11"/>
        <v>2.2000000000000002</v>
      </c>
      <c r="X35" s="2">
        <f t="shared" si="12"/>
        <v>2.4</v>
      </c>
      <c r="Y35" s="2">
        <f t="shared" si="13"/>
        <v>0.02</v>
      </c>
      <c r="Z35" s="2">
        <f t="shared" si="14"/>
        <v>0.27</v>
      </c>
      <c r="AA35" s="2">
        <f t="shared" si="15"/>
        <v>0.04</v>
      </c>
      <c r="AB35" s="2">
        <f t="shared" si="16"/>
        <v>1.97</v>
      </c>
      <c r="AC35" s="2">
        <f t="shared" si="17"/>
        <v>0.43</v>
      </c>
      <c r="AD35" s="2">
        <f t="shared" si="18"/>
        <v>120</v>
      </c>
      <c r="AE35" s="2">
        <f t="shared" si="19"/>
        <v>27.5</v>
      </c>
      <c r="AF35" s="2">
        <f t="shared" si="20"/>
        <v>28</v>
      </c>
      <c r="AG35" s="2" t="s">
        <v>9</v>
      </c>
      <c r="AH35" s="2">
        <f t="shared" si="21"/>
        <v>60</v>
      </c>
      <c r="AI35" s="2">
        <f t="shared" si="22"/>
        <v>0.1</v>
      </c>
      <c r="AJ35" s="2" t="s">
        <v>74</v>
      </c>
      <c r="AK35" s="2" t="s">
        <v>74</v>
      </c>
      <c r="AL35" s="2" t="str">
        <f t="shared" si="36"/>
        <v>—</v>
      </c>
      <c r="AM35" s="2" t="s">
        <v>74</v>
      </c>
      <c r="AN35" s="2">
        <f t="shared" si="23"/>
        <v>3</v>
      </c>
      <c r="AO35" s="2" t="s">
        <v>74</v>
      </c>
      <c r="AP35" s="2">
        <f t="shared" si="24"/>
        <v>1.7</v>
      </c>
      <c r="AQ35" s="2">
        <f t="shared" si="25"/>
        <v>3</v>
      </c>
      <c r="AR35" s="2">
        <f t="shared" si="26"/>
        <v>59.8</v>
      </c>
      <c r="AS35" s="2">
        <f t="shared" si="27"/>
        <v>13.3</v>
      </c>
      <c r="AT35" s="2" t="s">
        <v>74</v>
      </c>
      <c r="AU35" s="2">
        <f t="shared" si="28"/>
        <v>320</v>
      </c>
      <c r="AV35" s="2">
        <f t="shared" si="29"/>
        <v>450</v>
      </c>
      <c r="AW35" s="2" t="str">
        <f t="shared" si="30"/>
        <v>—</v>
      </c>
      <c r="AX35" s="2" t="s">
        <v>74</v>
      </c>
      <c r="AY35" s="2">
        <f t="shared" si="31"/>
        <v>2743</v>
      </c>
    </row>
    <row r="36" spans="1:51" x14ac:dyDescent="0.25">
      <c r="A36" s="2" t="s">
        <v>10</v>
      </c>
      <c r="B36" s="2">
        <f t="shared" si="32"/>
        <v>88</v>
      </c>
      <c r="C36" s="2">
        <f t="shared" si="32"/>
        <v>47.8</v>
      </c>
      <c r="D36" s="2">
        <f t="shared" si="33"/>
        <v>46.6</v>
      </c>
      <c r="E36" s="2">
        <f t="shared" si="0"/>
        <v>2425</v>
      </c>
      <c r="F36" s="2">
        <f t="shared" si="1"/>
        <v>3140</v>
      </c>
      <c r="G36" s="2">
        <f t="shared" si="2"/>
        <v>1</v>
      </c>
      <c r="H36" s="2">
        <f t="shared" si="3"/>
        <v>3</v>
      </c>
      <c r="I36" s="2">
        <f t="shared" si="4"/>
        <v>0.31</v>
      </c>
      <c r="J36" s="2">
        <f t="shared" si="34"/>
        <v>0.72</v>
      </c>
      <c r="K36" s="2">
        <f t="shared" si="35"/>
        <v>0.24</v>
      </c>
      <c r="L36" s="2" t="s">
        <v>74</v>
      </c>
      <c r="M36" s="2" t="str">
        <f t="shared" si="37"/>
        <v>0.7(92)</v>
      </c>
      <c r="N36" s="2" t="str">
        <f t="shared" si="38"/>
        <v>0.71(82)</v>
      </c>
      <c r="O36" s="2" t="str">
        <f t="shared" si="39"/>
        <v>3.02(91)</v>
      </c>
      <c r="P36" s="2" t="str">
        <f t="shared" si="6"/>
        <v>1.3(88)</v>
      </c>
      <c r="Q36" s="2" t="s">
        <v>10</v>
      </c>
      <c r="R36" s="2">
        <f t="shared" si="7"/>
        <v>0.7</v>
      </c>
      <c r="S36" s="2" t="str">
        <f t="shared" si="7"/>
        <v>2(88)</v>
      </c>
      <c r="T36" s="1" t="str">
        <f t="shared" si="8"/>
        <v>3.6(92)</v>
      </c>
      <c r="U36" s="2" t="str">
        <f t="shared" si="9"/>
        <v>2.6(93)</v>
      </c>
      <c r="V36" s="2" t="str">
        <f t="shared" si="10"/>
        <v>3.8(92)</v>
      </c>
      <c r="W36" s="2" t="str">
        <f t="shared" si="11"/>
        <v>2.7(92)</v>
      </c>
      <c r="X36" s="2" t="str">
        <f t="shared" si="12"/>
        <v>2.7(91)</v>
      </c>
      <c r="Y36" s="2">
        <f t="shared" si="13"/>
        <v>0.02</v>
      </c>
      <c r="Z36" s="2">
        <f t="shared" si="14"/>
        <v>0.28000000000000003</v>
      </c>
      <c r="AA36" s="2">
        <f t="shared" si="15"/>
        <v>0.04</v>
      </c>
      <c r="AB36" s="2">
        <f t="shared" si="16"/>
        <v>2.0499999999999998</v>
      </c>
      <c r="AC36" s="2">
        <f t="shared" si="17"/>
        <v>0.43</v>
      </c>
      <c r="AD36" s="2">
        <f t="shared" si="18"/>
        <v>171</v>
      </c>
      <c r="AE36" s="2">
        <f t="shared" si="19"/>
        <v>41</v>
      </c>
      <c r="AF36" s="2">
        <f t="shared" si="20"/>
        <v>15.3</v>
      </c>
      <c r="AG36" s="2" t="s">
        <v>10</v>
      </c>
      <c r="AH36" s="2">
        <f t="shared" si="21"/>
        <v>48.5</v>
      </c>
      <c r="AI36" s="2">
        <f t="shared" si="22"/>
        <v>0.1</v>
      </c>
      <c r="AJ36" s="2" t="s">
        <v>74</v>
      </c>
      <c r="AK36" s="2" t="s">
        <v>74</v>
      </c>
      <c r="AL36" s="2" t="str">
        <f t="shared" si="36"/>
        <v>—</v>
      </c>
      <c r="AM36" s="2" t="s">
        <v>74</v>
      </c>
      <c r="AN36" s="2">
        <f t="shared" si="23"/>
        <v>3.3</v>
      </c>
      <c r="AO36" s="2" t="s">
        <v>74</v>
      </c>
      <c r="AP36" s="2">
        <f t="shared" si="24"/>
        <v>1.7</v>
      </c>
      <c r="AQ36" s="2">
        <f t="shared" si="25"/>
        <v>2.6</v>
      </c>
      <c r="AR36" s="2">
        <f t="shared" si="26"/>
        <v>20.9</v>
      </c>
      <c r="AS36" s="2">
        <f t="shared" si="27"/>
        <v>13.2</v>
      </c>
      <c r="AT36" s="2" t="s">
        <v>74</v>
      </c>
      <c r="AU36" s="2">
        <f t="shared" si="28"/>
        <v>320</v>
      </c>
      <c r="AV36" s="2">
        <f t="shared" si="29"/>
        <v>700</v>
      </c>
      <c r="AW36" s="2" t="str">
        <f t="shared" si="30"/>
        <v>—</v>
      </c>
      <c r="AX36" s="2" t="s">
        <v>74</v>
      </c>
      <c r="AY36" s="2">
        <f t="shared" si="31"/>
        <v>2850</v>
      </c>
    </row>
    <row r="37" spans="1:51" x14ac:dyDescent="0.25">
      <c r="A37" s="2" t="s">
        <v>11</v>
      </c>
      <c r="B37" s="2">
        <f t="shared" si="32"/>
        <v>90</v>
      </c>
      <c r="C37" s="2">
        <f t="shared" si="32"/>
        <v>38</v>
      </c>
      <c r="D37" s="2">
        <f t="shared" si="33"/>
        <v>34.1</v>
      </c>
      <c r="E37" s="2">
        <f t="shared" si="0"/>
        <v>3350</v>
      </c>
      <c r="F37" s="2">
        <f t="shared" si="1"/>
        <v>3540</v>
      </c>
      <c r="G37" s="2">
        <f t="shared" si="2"/>
        <v>18</v>
      </c>
      <c r="H37" s="2">
        <f t="shared" si="3"/>
        <v>5</v>
      </c>
      <c r="I37" s="2">
        <f t="shared" si="4"/>
        <v>0.25</v>
      </c>
      <c r="J37" s="2">
        <f t="shared" si="34"/>
        <v>0.59</v>
      </c>
      <c r="K37" s="2">
        <f t="shared" si="35"/>
        <v>0.2</v>
      </c>
      <c r="L37" s="2" t="s">
        <v>74</v>
      </c>
      <c r="M37" s="2">
        <f t="shared" si="37"/>
        <v>0.54</v>
      </c>
      <c r="N37" s="2">
        <f t="shared" si="38"/>
        <v>0.55000000000000004</v>
      </c>
      <c r="O37" s="2">
        <f t="shared" si="39"/>
        <v>2.4</v>
      </c>
      <c r="P37" s="2">
        <f t="shared" si="6"/>
        <v>1.01</v>
      </c>
      <c r="Q37" s="2" t="s">
        <v>11</v>
      </c>
      <c r="R37" s="2">
        <f t="shared" si="7"/>
        <v>0.52</v>
      </c>
      <c r="S37" s="2">
        <f t="shared" si="7"/>
        <v>1.69</v>
      </c>
      <c r="T37" s="1">
        <f t="shared" si="8"/>
        <v>2.8</v>
      </c>
      <c r="U37" s="2">
        <f t="shared" si="9"/>
        <v>2.1800000000000002</v>
      </c>
      <c r="V37" s="2">
        <f t="shared" si="10"/>
        <v>2.8</v>
      </c>
      <c r="W37" s="2">
        <f t="shared" si="11"/>
        <v>2.1</v>
      </c>
      <c r="X37" s="2">
        <f t="shared" si="12"/>
        <v>2.02</v>
      </c>
      <c r="Y37" s="2">
        <f t="shared" si="13"/>
        <v>0.03</v>
      </c>
      <c r="Z37" s="2">
        <f t="shared" si="14"/>
        <v>0.21</v>
      </c>
      <c r="AA37" s="2">
        <f t="shared" si="15"/>
        <v>0.04</v>
      </c>
      <c r="AB37" s="2">
        <f t="shared" si="16"/>
        <v>1.7</v>
      </c>
      <c r="AC37" s="2">
        <f t="shared" si="17"/>
        <v>0.3</v>
      </c>
      <c r="AD37" s="2">
        <f t="shared" si="18"/>
        <v>75</v>
      </c>
      <c r="AE37" s="2">
        <f t="shared" si="19"/>
        <v>30</v>
      </c>
      <c r="AF37" s="2">
        <f t="shared" si="20"/>
        <v>15</v>
      </c>
      <c r="AG37" s="2" t="s">
        <v>11</v>
      </c>
      <c r="AH37" s="2">
        <f t="shared" si="21"/>
        <v>35</v>
      </c>
      <c r="AI37" s="2">
        <f t="shared" si="22"/>
        <v>0.1</v>
      </c>
      <c r="AJ37" s="2" t="s">
        <v>74</v>
      </c>
      <c r="AK37" s="2" t="s">
        <v>74</v>
      </c>
      <c r="AL37" s="2" t="str">
        <f t="shared" si="36"/>
        <v>—</v>
      </c>
      <c r="AM37" s="2" t="s">
        <v>74</v>
      </c>
      <c r="AN37" s="2">
        <f t="shared" si="23"/>
        <v>31</v>
      </c>
      <c r="AO37" s="2" t="s">
        <v>74</v>
      </c>
      <c r="AP37" s="2">
        <f t="shared" si="24"/>
        <v>6.6</v>
      </c>
      <c r="AQ37" s="2">
        <f t="shared" si="25"/>
        <v>2.64</v>
      </c>
      <c r="AR37" s="2">
        <f t="shared" si="26"/>
        <v>22</v>
      </c>
      <c r="AS37" s="2">
        <f t="shared" si="27"/>
        <v>15.6</v>
      </c>
      <c r="AT37" s="2" t="s">
        <v>74</v>
      </c>
      <c r="AU37" s="2">
        <f t="shared" si="28"/>
        <v>286</v>
      </c>
      <c r="AV37" s="2">
        <f t="shared" si="29"/>
        <v>3520</v>
      </c>
      <c r="AW37" s="2" t="str">
        <f t="shared" si="30"/>
        <v>—</v>
      </c>
      <c r="AX37" s="2" t="s">
        <v>74</v>
      </c>
      <c r="AY37" s="2">
        <f t="shared" si="31"/>
        <v>2420</v>
      </c>
    </row>
    <row r="38" spans="1:51" x14ac:dyDescent="0.25">
      <c r="A38" s="2" t="s">
        <v>101</v>
      </c>
      <c r="B38" s="2">
        <f t="shared" si="32"/>
        <v>92</v>
      </c>
      <c r="C38" s="2">
        <f t="shared" si="32"/>
        <v>27</v>
      </c>
      <c r="D38" s="2">
        <f t="shared" si="33"/>
        <v>21.1</v>
      </c>
      <c r="E38" s="2">
        <f t="shared" si="0"/>
        <v>2744</v>
      </c>
      <c r="F38" s="2">
        <f t="shared" si="1"/>
        <v>3300</v>
      </c>
      <c r="G38" s="2">
        <f t="shared" si="2"/>
        <v>9</v>
      </c>
      <c r="H38" s="2">
        <f t="shared" si="3"/>
        <v>8.5</v>
      </c>
      <c r="I38" s="2">
        <f t="shared" si="4"/>
        <v>0.14000000000000001</v>
      </c>
      <c r="J38" s="2">
        <f t="shared" si="34"/>
        <v>0.86</v>
      </c>
      <c r="K38" s="2">
        <f t="shared" si="35"/>
        <v>0.55000000000000004</v>
      </c>
      <c r="L38" s="2" t="s">
        <v>74</v>
      </c>
      <c r="M38" s="2" t="str">
        <f t="shared" si="37"/>
        <v>0.51(84)</v>
      </c>
      <c r="N38" s="2" t="str">
        <f t="shared" si="38"/>
        <v>0.5(74)</v>
      </c>
      <c r="O38" s="2" t="str">
        <f t="shared" si="39"/>
        <v>0.8(70)</v>
      </c>
      <c r="P38" s="2" t="str">
        <f t="shared" si="6"/>
        <v>0.65(80)</v>
      </c>
      <c r="Q38" s="2" t="s">
        <v>101</v>
      </c>
      <c r="R38" s="2" t="str">
        <f t="shared" si="7"/>
        <v>0.2(76)</v>
      </c>
      <c r="S38" s="2" t="str">
        <f t="shared" si="7"/>
        <v>0.92(72)</v>
      </c>
      <c r="T38" s="1" t="str">
        <f t="shared" si="8"/>
        <v>1.1(73)</v>
      </c>
      <c r="U38" s="2" t="str">
        <f t="shared" si="9"/>
        <v>1(84)</v>
      </c>
      <c r="V38" s="2" t="str">
        <f t="shared" si="10"/>
        <v>2.8(89)</v>
      </c>
      <c r="W38" s="2" t="str">
        <f t="shared" si="11"/>
        <v>1.2(88)</v>
      </c>
      <c r="X38" s="2" t="str">
        <f t="shared" si="12"/>
        <v>1.33(81)</v>
      </c>
      <c r="Y38" s="2">
        <f t="shared" si="13"/>
        <v>0.17</v>
      </c>
      <c r="Z38" s="2">
        <f t="shared" si="14"/>
        <v>0.42</v>
      </c>
      <c r="AA38" s="2">
        <f t="shared" si="15"/>
        <v>0.2</v>
      </c>
      <c r="AB38" s="2">
        <f t="shared" si="16"/>
        <v>1</v>
      </c>
      <c r="AC38" s="2">
        <f t="shared" si="17"/>
        <v>0.3</v>
      </c>
      <c r="AD38" s="2">
        <f t="shared" si="18"/>
        <v>300</v>
      </c>
      <c r="AE38" s="2">
        <f t="shared" si="19"/>
        <v>30</v>
      </c>
      <c r="AF38" s="2">
        <f t="shared" si="20"/>
        <v>50</v>
      </c>
      <c r="AG38" s="2" t="s">
        <v>101</v>
      </c>
      <c r="AH38" s="2">
        <f t="shared" si="21"/>
        <v>85</v>
      </c>
      <c r="AI38" s="2">
        <f t="shared" si="22"/>
        <v>0.35</v>
      </c>
      <c r="AJ38" s="2" t="s">
        <v>74</v>
      </c>
      <c r="AK38" s="2" t="s">
        <v>74</v>
      </c>
      <c r="AL38" s="2">
        <f t="shared" si="36"/>
        <v>2.7</v>
      </c>
      <c r="AM38" s="2" t="s">
        <v>74</v>
      </c>
      <c r="AN38" s="2">
        <f t="shared" si="23"/>
        <v>40</v>
      </c>
      <c r="AO38" s="2" t="s">
        <v>74</v>
      </c>
      <c r="AP38" s="2">
        <f t="shared" si="24"/>
        <v>3.5</v>
      </c>
      <c r="AQ38" s="2">
        <f t="shared" si="25"/>
        <v>9</v>
      </c>
      <c r="AR38" s="2">
        <f t="shared" si="26"/>
        <v>79.900000000000006</v>
      </c>
      <c r="AS38" s="2">
        <f t="shared" si="27"/>
        <v>11.4</v>
      </c>
      <c r="AT38" s="2" t="s">
        <v>74</v>
      </c>
      <c r="AU38" s="2">
        <f t="shared" si="28"/>
        <v>300</v>
      </c>
      <c r="AV38" s="2">
        <f t="shared" si="29"/>
        <v>880</v>
      </c>
      <c r="AW38" s="2" t="str">
        <f t="shared" si="30"/>
        <v>—</v>
      </c>
      <c r="AX38" s="2" t="s">
        <v>74</v>
      </c>
      <c r="AY38" s="2">
        <f t="shared" si="31"/>
        <v>3400</v>
      </c>
    </row>
    <row r="39" spans="1:51" x14ac:dyDescent="0.25">
      <c r="A39" s="2" t="s">
        <v>12</v>
      </c>
      <c r="B39" s="2">
        <f t="shared" si="32"/>
        <v>90</v>
      </c>
      <c r="C39" s="2">
        <f t="shared" si="32"/>
        <v>60</v>
      </c>
      <c r="D39" s="2">
        <f t="shared" si="33"/>
        <v>47.4</v>
      </c>
      <c r="E39" s="2">
        <f t="shared" si="0"/>
        <v>3740</v>
      </c>
      <c r="F39" s="2" t="str">
        <f t="shared" si="1"/>
        <v>n/a</v>
      </c>
      <c r="G39" s="2">
        <f t="shared" si="2"/>
        <v>2</v>
      </c>
      <c r="H39" s="2">
        <f t="shared" si="3"/>
        <v>2.5</v>
      </c>
      <c r="I39" s="2">
        <f t="shared" si="4"/>
        <v>0.02</v>
      </c>
      <c r="J39" s="2">
        <f t="shared" si="34"/>
        <v>0.5</v>
      </c>
      <c r="K39" s="2">
        <f t="shared" si="35"/>
        <v>0.18</v>
      </c>
      <c r="L39" s="2" t="s">
        <v>74</v>
      </c>
      <c r="M39" s="2" t="str">
        <f t="shared" si="37"/>
        <v>1.9(97)</v>
      </c>
      <c r="N39" s="2" t="str">
        <f t="shared" si="38"/>
        <v>1.1(86)</v>
      </c>
      <c r="O39" s="2" t="str">
        <f t="shared" si="39"/>
        <v>1(88)</v>
      </c>
      <c r="P39" s="2" t="str">
        <f t="shared" si="6"/>
        <v>1.2(94)</v>
      </c>
      <c r="Q39" s="2" t="s">
        <v>12</v>
      </c>
      <c r="R39" s="2">
        <f t="shared" si="7"/>
        <v>0.3</v>
      </c>
      <c r="S39" s="2" t="str">
        <f t="shared" si="7"/>
        <v>2(92)</v>
      </c>
      <c r="T39" s="1" t="str">
        <f t="shared" si="8"/>
        <v>1.9(96)</v>
      </c>
      <c r="U39" s="2" t="str">
        <f t="shared" si="9"/>
        <v>2.3(95)</v>
      </c>
      <c r="V39" s="2" t="str">
        <f t="shared" si="10"/>
        <v>9.4(98)</v>
      </c>
      <c r="W39" s="2" t="str">
        <f t="shared" si="11"/>
        <v>3.8(97)</v>
      </c>
      <c r="X39" s="2" t="str">
        <f t="shared" si="12"/>
        <v>2.7(95)</v>
      </c>
      <c r="Y39" s="2">
        <f t="shared" si="13"/>
        <v>0.05</v>
      </c>
      <c r="Z39" s="2">
        <f t="shared" si="14"/>
        <v>0.15</v>
      </c>
      <c r="AA39" s="2">
        <f t="shared" si="15"/>
        <v>0.03</v>
      </c>
      <c r="AB39" s="2">
        <f t="shared" si="16"/>
        <v>0.45</v>
      </c>
      <c r="AC39" s="2">
        <f t="shared" si="17"/>
        <v>0.5</v>
      </c>
      <c r="AD39" s="2">
        <f t="shared" si="18"/>
        <v>400</v>
      </c>
      <c r="AE39" s="2">
        <f t="shared" si="19"/>
        <v>4</v>
      </c>
      <c r="AF39" s="2">
        <f t="shared" si="20"/>
        <v>22</v>
      </c>
      <c r="AG39" s="2" t="s">
        <v>12</v>
      </c>
      <c r="AH39" s="2">
        <f t="shared" si="21"/>
        <v>41</v>
      </c>
      <c r="AI39" s="2">
        <f t="shared" si="22"/>
        <v>1</v>
      </c>
      <c r="AJ39" s="2" t="s">
        <v>74</v>
      </c>
      <c r="AK39" s="2" t="s">
        <v>74</v>
      </c>
      <c r="AL39" s="2">
        <f t="shared" si="36"/>
        <v>60</v>
      </c>
      <c r="AM39" s="2" t="s">
        <v>74</v>
      </c>
      <c r="AN39" s="2">
        <f t="shared" si="23"/>
        <v>25.5</v>
      </c>
      <c r="AO39" s="2" t="s">
        <v>74</v>
      </c>
      <c r="AP39" s="2">
        <f t="shared" si="24"/>
        <v>0.28000000000000003</v>
      </c>
      <c r="AQ39" s="2">
        <f t="shared" si="25"/>
        <v>2.2000000000000002</v>
      </c>
      <c r="AR39" s="2">
        <f t="shared" si="26"/>
        <v>81</v>
      </c>
      <c r="AS39" s="2">
        <f t="shared" si="27"/>
        <v>2.9</v>
      </c>
      <c r="AT39" s="2" t="s">
        <v>74</v>
      </c>
      <c r="AU39" s="2">
        <f t="shared" si="28"/>
        <v>220</v>
      </c>
      <c r="AV39" s="2">
        <f t="shared" si="29"/>
        <v>230</v>
      </c>
      <c r="AW39" s="2" t="str">
        <f t="shared" si="30"/>
        <v>—</v>
      </c>
      <c r="AX39" s="2" t="s">
        <v>74</v>
      </c>
      <c r="AY39" s="2">
        <f t="shared" si="31"/>
        <v>2200</v>
      </c>
    </row>
    <row r="40" spans="1:51" x14ac:dyDescent="0.25">
      <c r="A40" s="2" t="s">
        <v>13</v>
      </c>
      <c r="B40" s="2">
        <f t="shared" si="32"/>
        <v>93</v>
      </c>
      <c r="C40" s="2">
        <f t="shared" si="32"/>
        <v>50</v>
      </c>
      <c r="D40" s="2">
        <f t="shared" si="33"/>
        <v>39.5</v>
      </c>
      <c r="E40" s="2">
        <f t="shared" si="0"/>
        <v>2530</v>
      </c>
      <c r="F40" s="2">
        <f t="shared" si="1"/>
        <v>2435</v>
      </c>
      <c r="G40" s="2">
        <f t="shared" si="2"/>
        <v>8.5</v>
      </c>
      <c r="H40" s="2">
        <f t="shared" si="3"/>
        <v>2.8</v>
      </c>
      <c r="I40" s="2">
        <f t="shared" si="4"/>
        <v>9.1999999999999993</v>
      </c>
      <c r="J40" s="2">
        <f t="shared" si="34"/>
        <v>4.7</v>
      </c>
      <c r="K40" s="2">
        <f t="shared" si="35"/>
        <v>4.7</v>
      </c>
      <c r="L40" s="2" t="s">
        <v>74</v>
      </c>
      <c r="M40" s="2" t="str">
        <f t="shared" si="37"/>
        <v>0.67(85)</v>
      </c>
      <c r="N40" s="2" t="str">
        <f t="shared" si="38"/>
        <v>0.33(58)</v>
      </c>
      <c r="O40" s="2" t="str">
        <f t="shared" si="39"/>
        <v>2.6(79)</v>
      </c>
      <c r="P40" s="2" t="str">
        <f t="shared" si="6"/>
        <v>0.96(80)</v>
      </c>
      <c r="Q40" s="2" t="s">
        <v>13</v>
      </c>
      <c r="R40" s="2">
        <f t="shared" si="7"/>
        <v>0.26</v>
      </c>
      <c r="S40" s="2" t="str">
        <f t="shared" si="7"/>
        <v>1.7(79)</v>
      </c>
      <c r="T40" s="1" t="str">
        <f t="shared" si="8"/>
        <v>3.35(85)</v>
      </c>
      <c r="U40" s="2" t="str">
        <f t="shared" si="9"/>
        <v>1.7(83)</v>
      </c>
      <c r="V40" s="2" t="str">
        <f t="shared" si="10"/>
        <v>3.2(84)</v>
      </c>
      <c r="W40" s="2" t="str">
        <f t="shared" si="11"/>
        <v>1.7(84)</v>
      </c>
      <c r="X40" s="2" t="str">
        <f t="shared" si="12"/>
        <v>2.25(82)</v>
      </c>
      <c r="Y40" s="2">
        <f t="shared" si="13"/>
        <v>0.75</v>
      </c>
      <c r="Z40" s="2">
        <f t="shared" si="14"/>
        <v>1.1299999999999999</v>
      </c>
      <c r="AA40" s="2">
        <f t="shared" si="15"/>
        <v>0.8</v>
      </c>
      <c r="AB40" s="2">
        <f t="shared" si="16"/>
        <v>1.4</v>
      </c>
      <c r="AC40" s="2">
        <f t="shared" si="17"/>
        <v>0.4</v>
      </c>
      <c r="AD40" s="2">
        <f t="shared" si="18"/>
        <v>500</v>
      </c>
      <c r="AE40" s="2">
        <f t="shared" si="19"/>
        <v>12.3</v>
      </c>
      <c r="AF40" s="2">
        <f t="shared" si="20"/>
        <v>3</v>
      </c>
      <c r="AG40" s="2" t="s">
        <v>13</v>
      </c>
      <c r="AH40" s="2">
        <f t="shared" si="21"/>
        <v>90</v>
      </c>
      <c r="AI40" s="2">
        <f t="shared" si="22"/>
        <v>0.25</v>
      </c>
      <c r="AJ40" s="2" t="s">
        <v>74</v>
      </c>
      <c r="AK40" s="2" t="s">
        <v>74</v>
      </c>
      <c r="AL40" s="2" t="str">
        <f t="shared" si="36"/>
        <v>—</v>
      </c>
      <c r="AM40" s="2" t="s">
        <v>74</v>
      </c>
      <c r="AN40" s="2">
        <f t="shared" si="23"/>
        <v>0.8</v>
      </c>
      <c r="AO40" s="2" t="s">
        <v>74</v>
      </c>
      <c r="AP40" s="2">
        <f t="shared" si="24"/>
        <v>0.2</v>
      </c>
      <c r="AQ40" s="2">
        <f t="shared" si="25"/>
        <v>5.2</v>
      </c>
      <c r="AR40" s="2">
        <f t="shared" si="26"/>
        <v>59.4</v>
      </c>
      <c r="AS40" s="2">
        <f t="shared" si="27"/>
        <v>4.4000000000000004</v>
      </c>
      <c r="AT40" s="2" t="s">
        <v>74</v>
      </c>
      <c r="AU40" s="2">
        <f t="shared" si="28"/>
        <v>140</v>
      </c>
      <c r="AV40" s="2">
        <f t="shared" si="29"/>
        <v>600</v>
      </c>
      <c r="AW40" s="2">
        <f t="shared" si="30"/>
        <v>100</v>
      </c>
      <c r="AX40" s="2" t="s">
        <v>74</v>
      </c>
      <c r="AY40" s="2">
        <f t="shared" si="31"/>
        <v>2000</v>
      </c>
    </row>
    <row r="41" spans="1:51" x14ac:dyDescent="0.25">
      <c r="A41" s="2" t="s">
        <v>14</v>
      </c>
      <c r="B41" s="2">
        <f t="shared" si="32"/>
        <v>93</v>
      </c>
      <c r="C41" s="2">
        <f t="shared" si="32"/>
        <v>85</v>
      </c>
      <c r="D41" s="2">
        <f t="shared" si="33"/>
        <v>70.099999999999994</v>
      </c>
      <c r="E41" s="2">
        <f t="shared" si="0"/>
        <v>2880</v>
      </c>
      <c r="F41" s="2">
        <f t="shared" si="1"/>
        <v>2270</v>
      </c>
      <c r="G41" s="2">
        <f t="shared" si="2"/>
        <v>4</v>
      </c>
      <c r="H41" s="2">
        <f t="shared" si="3"/>
        <v>1.5</v>
      </c>
      <c r="I41" s="2">
        <f t="shared" si="4"/>
        <v>0.2</v>
      </c>
      <c r="J41" s="2">
        <f t="shared" si="34"/>
        <v>0.7</v>
      </c>
      <c r="K41" s="2">
        <f t="shared" si="35"/>
        <v>0.7</v>
      </c>
      <c r="L41" s="2" t="s">
        <v>74</v>
      </c>
      <c r="M41" s="2" t="str">
        <f t="shared" si="37"/>
        <v>0.65(76)</v>
      </c>
      <c r="N41" s="2" t="str">
        <f t="shared" si="38"/>
        <v>4(59)</v>
      </c>
      <c r="O41" s="2" t="str">
        <f t="shared" si="39"/>
        <v>2.05(66)</v>
      </c>
      <c r="P41" s="2" t="str">
        <f t="shared" si="6"/>
        <v>0.78(72)</v>
      </c>
      <c r="Q41" s="2" t="s">
        <v>14</v>
      </c>
      <c r="R41" s="2">
        <f t="shared" si="7"/>
        <v>0.5</v>
      </c>
      <c r="S41" s="2" t="str">
        <f t="shared" si="7"/>
        <v>3.8(73)</v>
      </c>
      <c r="T41" s="1" t="str">
        <f t="shared" si="8"/>
        <v>5.75(83)</v>
      </c>
      <c r="U41" s="2" t="str">
        <f t="shared" si="9"/>
        <v>3.66(85)</v>
      </c>
      <c r="V41" s="2" t="str">
        <f t="shared" si="10"/>
        <v>7.8(82)</v>
      </c>
      <c r="W41" s="2" t="str">
        <f t="shared" si="11"/>
        <v>3.54(85)</v>
      </c>
      <c r="X41" s="2" t="str">
        <f t="shared" si="12"/>
        <v>5.75(82)</v>
      </c>
      <c r="Y41" s="2">
        <f t="shared" si="13"/>
        <v>0.28000000000000003</v>
      </c>
      <c r="Z41" s="2">
        <f t="shared" si="14"/>
        <v>0.2</v>
      </c>
      <c r="AA41" s="2">
        <f t="shared" si="15"/>
        <v>0.7</v>
      </c>
      <c r="AB41" s="2">
        <f t="shared" si="16"/>
        <v>0.3</v>
      </c>
      <c r="AC41" s="2">
        <f t="shared" si="17"/>
        <v>1.4</v>
      </c>
      <c r="AD41" s="2">
        <f t="shared" si="18"/>
        <v>70</v>
      </c>
      <c r="AE41" s="2">
        <f t="shared" si="19"/>
        <v>9</v>
      </c>
      <c r="AF41" s="2">
        <f t="shared" si="20"/>
        <v>7</v>
      </c>
      <c r="AG41" s="2" t="s">
        <v>14</v>
      </c>
      <c r="AH41" s="2">
        <f t="shared" si="21"/>
        <v>55</v>
      </c>
      <c r="AI41" s="2">
        <f t="shared" si="22"/>
        <v>0.8</v>
      </c>
      <c r="AJ41" s="2" t="s">
        <v>74</v>
      </c>
      <c r="AK41" s="2" t="s">
        <v>74</v>
      </c>
      <c r="AL41" s="2" t="str">
        <f t="shared" si="36"/>
        <v>—</v>
      </c>
      <c r="AM41" s="2" t="s">
        <v>74</v>
      </c>
      <c r="AN41" s="2" t="str">
        <f t="shared" si="23"/>
        <v>—</v>
      </c>
      <c r="AO41" s="2" t="s">
        <v>74</v>
      </c>
      <c r="AP41" s="2" t="str">
        <f t="shared" si="24"/>
        <v>—</v>
      </c>
      <c r="AQ41" s="2">
        <f t="shared" si="25"/>
        <v>2</v>
      </c>
      <c r="AR41" s="2">
        <f t="shared" si="26"/>
        <v>30.8</v>
      </c>
      <c r="AS41" s="2">
        <f t="shared" si="27"/>
        <v>11</v>
      </c>
      <c r="AT41" s="2" t="s">
        <v>74</v>
      </c>
      <c r="AU41" s="2">
        <f t="shared" si="28"/>
        <v>44</v>
      </c>
      <c r="AV41" s="2">
        <f t="shared" si="29"/>
        <v>220</v>
      </c>
      <c r="AW41" s="2">
        <f t="shared" si="30"/>
        <v>70</v>
      </c>
      <c r="AX41" s="2" t="s">
        <v>74</v>
      </c>
      <c r="AY41" s="2">
        <f t="shared" si="31"/>
        <v>880</v>
      </c>
    </row>
    <row r="42" spans="1:51" x14ac:dyDescent="0.25">
      <c r="A42" s="2" t="s">
        <v>99</v>
      </c>
      <c r="B42" s="2">
        <f t="shared" si="32"/>
        <v>91</v>
      </c>
      <c r="C42" s="2">
        <f t="shared" si="32"/>
        <v>65</v>
      </c>
      <c r="D42" s="2">
        <f t="shared" si="33"/>
        <v>52.7</v>
      </c>
      <c r="E42" s="2">
        <f t="shared" si="0"/>
        <v>2820</v>
      </c>
      <c r="F42" s="2">
        <f t="shared" si="1"/>
        <v>2950</v>
      </c>
      <c r="G42" s="2">
        <f t="shared" si="2"/>
        <v>10</v>
      </c>
      <c r="H42" s="2">
        <f t="shared" si="3"/>
        <v>1</v>
      </c>
      <c r="I42" s="2">
        <f t="shared" si="4"/>
        <v>4</v>
      </c>
      <c r="J42" s="2">
        <f t="shared" si="34"/>
        <v>2.85</v>
      </c>
      <c r="K42" s="2">
        <f t="shared" si="35"/>
        <v>2.85</v>
      </c>
      <c r="L42" s="2" t="s">
        <v>74</v>
      </c>
      <c r="M42" s="2">
        <f t="shared" si="37"/>
        <v>1.9</v>
      </c>
      <c r="N42" s="2">
        <f t="shared" si="38"/>
        <v>0.6</v>
      </c>
      <c r="O42" s="2">
        <f t="shared" si="39"/>
        <v>4.9000000000000004</v>
      </c>
      <c r="P42" s="2">
        <f t="shared" si="6"/>
        <v>1.5</v>
      </c>
      <c r="Q42" s="2" t="s">
        <v>99</v>
      </c>
      <c r="R42" s="2">
        <f t="shared" si="7"/>
        <v>0.75</v>
      </c>
      <c r="S42" s="2">
        <f t="shared" si="7"/>
        <v>2.7</v>
      </c>
      <c r="T42" s="1">
        <f t="shared" si="8"/>
        <v>3.38</v>
      </c>
      <c r="U42" s="2">
        <f t="shared" si="9"/>
        <v>3</v>
      </c>
      <c r="V42" s="2">
        <f t="shared" si="10"/>
        <v>5</v>
      </c>
      <c r="W42" s="2">
        <f t="shared" si="11"/>
        <v>2.39</v>
      </c>
      <c r="X42" s="2">
        <f t="shared" si="12"/>
        <v>3.4</v>
      </c>
      <c r="Y42" s="2">
        <f t="shared" si="13"/>
        <v>0.6</v>
      </c>
      <c r="Z42" s="2">
        <f t="shared" si="14"/>
        <v>0.27</v>
      </c>
      <c r="AA42" s="2">
        <f t="shared" si="15"/>
        <v>0.88</v>
      </c>
      <c r="AB42" s="2">
        <f t="shared" si="16"/>
        <v>0.9</v>
      </c>
      <c r="AC42" s="2">
        <f t="shared" si="17"/>
        <v>0.54</v>
      </c>
      <c r="AD42" s="2">
        <f t="shared" si="18"/>
        <v>226</v>
      </c>
      <c r="AE42" s="2">
        <f t="shared" si="19"/>
        <v>9</v>
      </c>
      <c r="AF42" s="2">
        <f t="shared" si="20"/>
        <v>9</v>
      </c>
      <c r="AG42" s="2" t="s">
        <v>99</v>
      </c>
      <c r="AH42" s="2">
        <f t="shared" si="21"/>
        <v>100</v>
      </c>
      <c r="AI42" s="2">
        <f t="shared" si="22"/>
        <v>2.7</v>
      </c>
      <c r="AJ42" s="2" t="s">
        <v>74</v>
      </c>
      <c r="AK42" s="2" t="s">
        <v>74</v>
      </c>
      <c r="AL42" s="2" t="str">
        <f t="shared" si="36"/>
        <v>—</v>
      </c>
      <c r="AM42" s="2" t="s">
        <v>74</v>
      </c>
      <c r="AN42" s="2">
        <f t="shared" si="23"/>
        <v>5.6</v>
      </c>
      <c r="AO42" s="2" t="s">
        <v>74</v>
      </c>
      <c r="AP42" s="2">
        <f t="shared" si="24"/>
        <v>0.1</v>
      </c>
      <c r="AQ42" s="2">
        <f t="shared" si="25"/>
        <v>7.5</v>
      </c>
      <c r="AR42" s="2">
        <f t="shared" si="26"/>
        <v>135</v>
      </c>
      <c r="AS42" s="2">
        <f t="shared" si="27"/>
        <v>20.3</v>
      </c>
      <c r="AT42" s="2" t="s">
        <v>74</v>
      </c>
      <c r="AU42" s="2">
        <f t="shared" si="28"/>
        <v>200</v>
      </c>
      <c r="AV42" s="2">
        <f t="shared" si="29"/>
        <v>220</v>
      </c>
      <c r="AW42" s="2">
        <f t="shared" si="30"/>
        <v>600</v>
      </c>
      <c r="AX42" s="2" t="s">
        <v>74</v>
      </c>
      <c r="AY42" s="2">
        <f t="shared" si="31"/>
        <v>5100</v>
      </c>
    </row>
    <row r="43" spans="1:51" x14ac:dyDescent="0.25">
      <c r="A43" s="2" t="s">
        <v>368</v>
      </c>
      <c r="B43" s="2">
        <f t="shared" si="32"/>
        <v>74</v>
      </c>
      <c r="C43" s="2">
        <f t="shared" si="32"/>
        <v>2.9</v>
      </c>
      <c r="D43" s="2">
        <f t="shared" si="33"/>
        <v>1.8</v>
      </c>
      <c r="E43" s="2">
        <f t="shared" si="0"/>
        <v>1980</v>
      </c>
      <c r="F43" s="2">
        <f t="shared" si="1"/>
        <v>2345</v>
      </c>
      <c r="G43" s="2">
        <f t="shared" si="2"/>
        <v>0</v>
      </c>
      <c r="H43" s="2">
        <f t="shared" si="3"/>
        <v>0</v>
      </c>
      <c r="I43" s="2">
        <f t="shared" si="4"/>
        <v>0.82</v>
      </c>
      <c r="J43" s="2">
        <f t="shared" si="34"/>
        <v>0.08</v>
      </c>
      <c r="K43" s="2" t="str">
        <f t="shared" si="35"/>
        <v>—</v>
      </c>
      <c r="L43" s="2" t="s">
        <v>74</v>
      </c>
      <c r="M43" s="2" t="str">
        <f t="shared" si="37"/>
        <v>—</v>
      </c>
      <c r="N43" s="2" t="str">
        <f t="shared" si="38"/>
        <v>—</v>
      </c>
      <c r="O43" s="2" t="str">
        <f t="shared" si="39"/>
        <v>—</v>
      </c>
      <c r="P43" s="2" t="str">
        <f t="shared" si="6"/>
        <v>—</v>
      </c>
      <c r="Q43" s="2" t="s">
        <v>368</v>
      </c>
      <c r="R43" s="2" t="str">
        <f t="shared" si="7"/>
        <v>—</v>
      </c>
      <c r="S43" s="2" t="str">
        <f t="shared" si="7"/>
        <v>—</v>
      </c>
      <c r="T43" s="1" t="str">
        <f t="shared" si="8"/>
        <v>—</v>
      </c>
      <c r="U43" s="2" t="str">
        <f t="shared" si="9"/>
        <v>—</v>
      </c>
      <c r="V43" s="2" t="str">
        <f t="shared" si="10"/>
        <v>—</v>
      </c>
      <c r="W43" s="2" t="str">
        <f t="shared" si="11"/>
        <v>—</v>
      </c>
      <c r="X43" s="2" t="str">
        <f t="shared" si="12"/>
        <v>—</v>
      </c>
      <c r="Y43" s="2">
        <f t="shared" si="13"/>
        <v>2.8</v>
      </c>
      <c r="Z43" s="2">
        <f t="shared" si="14"/>
        <v>0.35</v>
      </c>
      <c r="AA43" s="2">
        <f t="shared" si="15"/>
        <v>0.16</v>
      </c>
      <c r="AB43" s="2">
        <f t="shared" si="16"/>
        <v>2.38</v>
      </c>
      <c r="AC43" s="2">
        <f t="shared" si="17"/>
        <v>0.35</v>
      </c>
      <c r="AD43" s="2">
        <f t="shared" si="18"/>
        <v>200</v>
      </c>
      <c r="AE43" s="2">
        <f t="shared" si="19"/>
        <v>42.2</v>
      </c>
      <c r="AF43" s="2">
        <f t="shared" si="20"/>
        <v>59.6</v>
      </c>
      <c r="AG43" s="2" t="s">
        <v>368</v>
      </c>
      <c r="AH43" s="2" t="str">
        <f t="shared" si="21"/>
        <v>—</v>
      </c>
      <c r="AI43" s="2" t="str">
        <f t="shared" si="22"/>
        <v>n/a</v>
      </c>
      <c r="AJ43" s="2" t="s">
        <v>74</v>
      </c>
      <c r="AK43" s="2" t="s">
        <v>74</v>
      </c>
      <c r="AL43" s="2" t="str">
        <f t="shared" si="36"/>
        <v>—</v>
      </c>
      <c r="AM43" s="2" t="s">
        <v>74</v>
      </c>
      <c r="AN43" s="2">
        <f t="shared" si="23"/>
        <v>4.4000000000000004</v>
      </c>
      <c r="AO43" s="2" t="s">
        <v>74</v>
      </c>
      <c r="AP43" s="2">
        <f t="shared" si="24"/>
        <v>0.9</v>
      </c>
      <c r="AQ43" s="2">
        <f t="shared" si="25"/>
        <v>2.2999999999999998</v>
      </c>
      <c r="AR43" s="2">
        <f t="shared" si="26"/>
        <v>45</v>
      </c>
      <c r="AS43" s="2">
        <f t="shared" si="27"/>
        <v>39</v>
      </c>
      <c r="AT43" s="2" t="s">
        <v>74</v>
      </c>
      <c r="AU43" s="2">
        <f t="shared" si="28"/>
        <v>700</v>
      </c>
      <c r="AV43" s="2" t="str">
        <f t="shared" si="29"/>
        <v>—</v>
      </c>
      <c r="AW43" s="2" t="str">
        <f t="shared" si="30"/>
        <v>—</v>
      </c>
      <c r="AX43" s="2" t="s">
        <v>74</v>
      </c>
      <c r="AY43" s="2">
        <f t="shared" si="31"/>
        <v>660</v>
      </c>
    </row>
    <row r="44" spans="1:51" x14ac:dyDescent="0.25">
      <c r="S44" s="1"/>
    </row>
    <row r="45" spans="1:51" x14ac:dyDescent="0.25">
      <c r="A45" s="2" t="s">
        <v>189</v>
      </c>
      <c r="B45" s="2" t="s">
        <v>49</v>
      </c>
      <c r="C45" s="2" t="s">
        <v>50</v>
      </c>
      <c r="D45" s="2" t="s">
        <v>383</v>
      </c>
      <c r="E45" s="2" t="s">
        <v>51</v>
      </c>
      <c r="F45" s="2" t="s">
        <v>55</v>
      </c>
      <c r="G45" s="2" t="s">
        <v>52</v>
      </c>
      <c r="H45" s="1" t="s">
        <v>53</v>
      </c>
      <c r="I45" s="2" t="s">
        <v>58</v>
      </c>
      <c r="J45" s="2" t="s">
        <v>54</v>
      </c>
      <c r="K45" s="2" t="s">
        <v>57</v>
      </c>
      <c r="L45" s="2" t="s">
        <v>89</v>
      </c>
      <c r="M45" s="2" t="s">
        <v>56</v>
      </c>
    </row>
    <row r="46" spans="1:51" x14ac:dyDescent="0.25">
      <c r="A46" s="2" t="s">
        <v>188</v>
      </c>
      <c r="B46" s="2" t="s">
        <v>377</v>
      </c>
      <c r="C46" s="2" t="s">
        <v>377</v>
      </c>
      <c r="D46" s="2" t="s">
        <v>377</v>
      </c>
      <c r="E46" s="2" t="s">
        <v>377</v>
      </c>
      <c r="F46" s="2" t="s">
        <v>377</v>
      </c>
      <c r="G46" s="2" t="s">
        <v>377</v>
      </c>
      <c r="H46" s="2" t="s">
        <v>377</v>
      </c>
      <c r="I46" s="2" t="s">
        <v>377</v>
      </c>
      <c r="J46" s="2" t="s">
        <v>377</v>
      </c>
      <c r="K46" s="2" t="s">
        <v>377</v>
      </c>
      <c r="L46" s="2" t="s">
        <v>377</v>
      </c>
      <c r="M46" s="2" t="s">
        <v>377</v>
      </c>
    </row>
    <row r="47" spans="1:51" x14ac:dyDescent="0.25">
      <c r="A47" s="2" t="s">
        <v>0</v>
      </c>
      <c r="B47" s="2">
        <f>0.18*(91)/100</f>
        <v>0.1638</v>
      </c>
      <c r="C47" s="2">
        <f>0.18*(85)/100</f>
        <v>0.153</v>
      </c>
      <c r="D47" s="2">
        <f>B47+C47</f>
        <v>0.31679999999999997</v>
      </c>
      <c r="E47" s="2">
        <f>0.24*(81)/100</f>
        <v>0.19439999999999999</v>
      </c>
      <c r="F47" s="2">
        <f>0.25*(94)/100</f>
        <v>0.23499999999999999</v>
      </c>
      <c r="G47" s="2">
        <f>0.07*(90)/100</f>
        <v>6.3E-2</v>
      </c>
      <c r="H47" s="1">
        <f>0.29*(84)/100</f>
        <v>0.24359999999999998</v>
      </c>
      <c r="I47" s="2">
        <f>0.4*(89)/100</f>
        <v>0.35600000000000004</v>
      </c>
      <c r="J47" s="2">
        <f>0.29*(88)/100</f>
        <v>0.25519999999999998</v>
      </c>
      <c r="K47" s="2">
        <f>1*(93)/100</f>
        <v>0.93</v>
      </c>
      <c r="L47" s="2">
        <f>0.42*(91)/100</f>
        <v>0.38219999999999998</v>
      </c>
      <c r="M47" s="2">
        <f>0.42*(88)/100</f>
        <v>0.36959999999999998</v>
      </c>
    </row>
    <row r="48" spans="1:51" x14ac:dyDescent="0.25">
      <c r="A48" s="2" t="s">
        <v>1</v>
      </c>
      <c r="B48" s="2">
        <f>0.18*(79)/100</f>
        <v>0.14219999999999999</v>
      </c>
      <c r="C48" s="2">
        <f>0.25*(81)/100</f>
        <v>0.20250000000000001</v>
      </c>
      <c r="D48" s="2">
        <f t="shared" ref="D48:D63" si="40">B48+C48</f>
        <v>0.34470000000000001</v>
      </c>
      <c r="E48" s="2">
        <f>0.53*(78)/100</f>
        <v>0.41340000000000005</v>
      </c>
      <c r="F48" s="2">
        <f>0.23*(87)/100</f>
        <v>0.20010000000000003</v>
      </c>
      <c r="G48" s="2">
        <v>0.17</v>
      </c>
      <c r="H48" s="1">
        <f>0.36*(77)/100</f>
        <v>0.2772</v>
      </c>
      <c r="I48" s="2">
        <f>0.5*(85)/100</f>
        <v>0.42499999999999999</v>
      </c>
      <c r="J48" s="2">
        <f>0.42*(82)/100</f>
        <v>0.34439999999999998</v>
      </c>
      <c r="K48" s="2">
        <f>0.8*(86)/100</f>
        <v>0.68799999999999994</v>
      </c>
      <c r="L48" s="2">
        <f>0.62*(88)/100</f>
        <v>0.54559999999999997</v>
      </c>
      <c r="M48" s="2">
        <f>0.62*(81)/100</f>
        <v>0.50219999999999998</v>
      </c>
    </row>
    <row r="49" spans="1:13" x14ac:dyDescent="0.25">
      <c r="A49" s="2" t="s">
        <v>2</v>
      </c>
      <c r="B49" s="2">
        <f>0.17*(78)/100</f>
        <v>0.13260000000000002</v>
      </c>
      <c r="C49" s="2">
        <f>0.1*(68)/100</f>
        <v>6.8000000000000005E-2</v>
      </c>
      <c r="D49" s="2">
        <f t="shared" si="40"/>
        <v>0.20060000000000003</v>
      </c>
      <c r="E49" s="2">
        <f>0.5*(75)/100</f>
        <v>0.375</v>
      </c>
      <c r="F49" s="2">
        <f>0.25*(88)/100</f>
        <v>0.22</v>
      </c>
      <c r="G49" s="1">
        <v>0.1</v>
      </c>
      <c r="H49" s="2">
        <f>0.4*(70)/100</f>
        <v>0.28000000000000003</v>
      </c>
      <c r="I49" s="2">
        <f>0.45*(87)/100</f>
        <v>0.39149999999999996</v>
      </c>
      <c r="J49" s="2">
        <f>0.39*(77)/100</f>
        <v>0.30030000000000001</v>
      </c>
      <c r="K49" s="2">
        <f>1.2*(76)/100</f>
        <v>0.91200000000000003</v>
      </c>
      <c r="L49" s="2">
        <f>0.41*(77)/100</f>
        <v>0.31569999999999998</v>
      </c>
      <c r="M49" s="2">
        <f>0.6*(77)/100</f>
        <v>0.46199999999999997</v>
      </c>
    </row>
    <row r="50" spans="1:13" x14ac:dyDescent="0.25">
      <c r="A50" s="2" t="s">
        <v>3</v>
      </c>
      <c r="B50" s="2">
        <v>0.2</v>
      </c>
      <c r="C50" s="2">
        <v>0.3</v>
      </c>
      <c r="D50" s="2">
        <f t="shared" si="40"/>
        <v>0.5</v>
      </c>
      <c r="E50" s="2">
        <v>0.6</v>
      </c>
      <c r="F50" s="2">
        <v>0.3</v>
      </c>
      <c r="G50" s="1">
        <v>0.3</v>
      </c>
      <c r="H50" s="2">
        <v>0.48</v>
      </c>
      <c r="I50" s="2">
        <v>1.07</v>
      </c>
      <c r="J50" s="2">
        <v>0.6</v>
      </c>
      <c r="K50" s="2">
        <v>0.9</v>
      </c>
      <c r="L50" s="2">
        <v>0.56999999999999995</v>
      </c>
      <c r="M50" s="2">
        <v>0.7</v>
      </c>
    </row>
    <row r="51" spans="1:13" x14ac:dyDescent="0.25">
      <c r="A51" s="2" t="s">
        <v>4</v>
      </c>
      <c r="B51" s="2">
        <v>0.12</v>
      </c>
      <c r="C51" s="2">
        <v>0.19</v>
      </c>
      <c r="D51" s="2">
        <f t="shared" si="40"/>
        <v>0.31</v>
      </c>
      <c r="E51" s="2">
        <v>0.7</v>
      </c>
      <c r="F51" s="2">
        <v>0.4</v>
      </c>
      <c r="G51" s="1">
        <v>0.2</v>
      </c>
      <c r="H51" s="2">
        <v>0.5</v>
      </c>
      <c r="I51" s="2">
        <v>1</v>
      </c>
      <c r="J51" s="2">
        <v>0.7</v>
      </c>
      <c r="K51" s="2">
        <v>1.1000000000000001</v>
      </c>
      <c r="L51" s="2">
        <v>0.5</v>
      </c>
      <c r="M51" s="2">
        <v>0.8</v>
      </c>
    </row>
    <row r="52" spans="1:13" x14ac:dyDescent="0.25">
      <c r="A52" s="2" t="s">
        <v>103</v>
      </c>
      <c r="B52" s="2" t="s">
        <v>74</v>
      </c>
      <c r="C52" s="2" t="s">
        <v>74</v>
      </c>
      <c r="D52" s="2" t="s">
        <v>74</v>
      </c>
      <c r="E52" s="2" t="s">
        <v>74</v>
      </c>
      <c r="F52" s="2" t="s">
        <v>74</v>
      </c>
      <c r="G52" s="1" t="s">
        <v>74</v>
      </c>
      <c r="H52" s="2" t="s">
        <v>74</v>
      </c>
      <c r="I52" s="2" t="s">
        <v>74</v>
      </c>
      <c r="J52" s="2" t="s">
        <v>74</v>
      </c>
      <c r="K52" s="2" t="s">
        <v>74</v>
      </c>
      <c r="L52" s="2" t="s">
        <v>74</v>
      </c>
      <c r="M52" s="2" t="s">
        <v>74</v>
      </c>
    </row>
    <row r="53" spans="1:13" x14ac:dyDescent="0.25">
      <c r="A53" s="2" t="s">
        <v>104</v>
      </c>
      <c r="B53" s="2" t="s">
        <v>74</v>
      </c>
      <c r="C53" s="2" t="s">
        <v>74</v>
      </c>
      <c r="D53" s="2" t="s">
        <v>74</v>
      </c>
      <c r="E53" s="2" t="s">
        <v>74</v>
      </c>
      <c r="F53" s="2" t="s">
        <v>74</v>
      </c>
      <c r="G53" s="1" t="s">
        <v>74</v>
      </c>
      <c r="H53" s="2" t="s">
        <v>74</v>
      </c>
      <c r="I53" s="2" t="s">
        <v>74</v>
      </c>
      <c r="J53" s="2" t="s">
        <v>74</v>
      </c>
      <c r="K53" s="2" t="s">
        <v>74</v>
      </c>
      <c r="L53" s="2" t="s">
        <v>74</v>
      </c>
      <c r="M53" s="2" t="s">
        <v>74</v>
      </c>
    </row>
    <row r="54" spans="1:13" x14ac:dyDescent="0.25">
      <c r="A54" s="2" t="s">
        <v>102</v>
      </c>
      <c r="B54" s="2" t="s">
        <v>74</v>
      </c>
      <c r="C54" s="2" t="s">
        <v>74</v>
      </c>
      <c r="D54" s="2" t="s">
        <v>74</v>
      </c>
      <c r="E54" s="2" t="s">
        <v>74</v>
      </c>
      <c r="F54" s="2" t="s">
        <v>74</v>
      </c>
      <c r="G54" s="1" t="s">
        <v>74</v>
      </c>
      <c r="H54" s="2" t="s">
        <v>74</v>
      </c>
      <c r="I54" s="2" t="s">
        <v>74</v>
      </c>
      <c r="J54" s="2" t="s">
        <v>74</v>
      </c>
      <c r="K54" s="2" t="s">
        <v>74</v>
      </c>
      <c r="L54" s="2" t="s">
        <v>74</v>
      </c>
      <c r="M54" s="2" t="s">
        <v>74</v>
      </c>
    </row>
    <row r="55" spans="1:13" x14ac:dyDescent="0.25">
      <c r="A55" s="2" t="s">
        <v>8</v>
      </c>
      <c r="B55" s="2">
        <v>0</v>
      </c>
      <c r="C55" s="2">
        <v>0</v>
      </c>
      <c r="D55" s="2">
        <f t="shared" si="40"/>
        <v>0</v>
      </c>
      <c r="E55" s="2">
        <v>0</v>
      </c>
      <c r="F55" s="2">
        <v>0</v>
      </c>
      <c r="G55" s="1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</row>
    <row r="56" spans="1:13" x14ac:dyDescent="0.25">
      <c r="A56" s="2" t="s">
        <v>9</v>
      </c>
      <c r="B56" s="2">
        <v>0.65</v>
      </c>
      <c r="C56" s="2">
        <v>0.67</v>
      </c>
      <c r="D56" s="2">
        <f t="shared" si="40"/>
        <v>1.32</v>
      </c>
      <c r="E56" s="20">
        <v>2.7</v>
      </c>
      <c r="F56" s="2">
        <v>1.1000000000000001</v>
      </c>
      <c r="G56" s="1">
        <v>0.6</v>
      </c>
      <c r="H56" s="2">
        <v>1.7</v>
      </c>
      <c r="I56" s="2">
        <v>3.4</v>
      </c>
      <c r="J56" s="2">
        <v>2.5</v>
      </c>
      <c r="K56" s="2">
        <v>3.4</v>
      </c>
      <c r="L56" s="2">
        <v>2.2000000000000002</v>
      </c>
      <c r="M56" s="2">
        <v>2.4</v>
      </c>
    </row>
    <row r="57" spans="1:13" x14ac:dyDescent="0.25">
      <c r="A57" s="2" t="s">
        <v>10</v>
      </c>
      <c r="B57" s="2">
        <f>0.7*(92)/100</f>
        <v>0.64399999999999991</v>
      </c>
      <c r="C57" s="2">
        <f>0.71*(82)/100</f>
        <v>0.58219999999999994</v>
      </c>
      <c r="D57" s="2">
        <f t="shared" si="40"/>
        <v>1.2262</v>
      </c>
      <c r="E57" s="2">
        <f>3.02*(91)/100</f>
        <v>2.7481999999999998</v>
      </c>
      <c r="F57" s="2">
        <f>1.3*(88)/100</f>
        <v>1.1440000000000001</v>
      </c>
      <c r="G57" s="1">
        <v>0.7</v>
      </c>
      <c r="H57" s="2">
        <f>2*(88)/100</f>
        <v>1.76</v>
      </c>
      <c r="I57" s="2">
        <f>3.6*(92)/100</f>
        <v>3.3119999999999998</v>
      </c>
      <c r="J57" s="2">
        <f>2.6*(93)/100</f>
        <v>2.4180000000000001</v>
      </c>
      <c r="K57" s="2">
        <f>3.8*(92)/100</f>
        <v>3.4959999999999996</v>
      </c>
      <c r="L57" s="2">
        <f>2.7*(92)/100</f>
        <v>2.484</v>
      </c>
      <c r="M57" s="2">
        <f>2.7*(91)/100</f>
        <v>2.4570000000000003</v>
      </c>
    </row>
    <row r="58" spans="1:13" x14ac:dyDescent="0.25">
      <c r="A58" s="2" t="s">
        <v>11</v>
      </c>
      <c r="B58" s="2">
        <v>0.54</v>
      </c>
      <c r="C58" s="2">
        <v>0.55000000000000004</v>
      </c>
      <c r="D58" s="2">
        <f t="shared" si="40"/>
        <v>1.0900000000000001</v>
      </c>
      <c r="E58" s="2">
        <v>2.4</v>
      </c>
      <c r="F58" s="2">
        <v>1.01</v>
      </c>
      <c r="G58" s="1">
        <v>0.52</v>
      </c>
      <c r="H58" s="2">
        <v>1.69</v>
      </c>
      <c r="I58" s="2">
        <v>2.8</v>
      </c>
      <c r="J58" s="2">
        <v>2.1800000000000002</v>
      </c>
      <c r="K58" s="2">
        <v>2.8</v>
      </c>
      <c r="L58" s="2">
        <v>2.1</v>
      </c>
      <c r="M58" s="2">
        <v>2.02</v>
      </c>
    </row>
    <row r="59" spans="1:13" x14ac:dyDescent="0.25">
      <c r="A59" s="2" t="s">
        <v>101</v>
      </c>
      <c r="B59" s="1">
        <f>0.51*(84)/100</f>
        <v>0.42840000000000006</v>
      </c>
      <c r="C59" s="1">
        <f>0.5*(74)/100</f>
        <v>0.37</v>
      </c>
      <c r="D59" s="2">
        <f t="shared" si="40"/>
        <v>0.7984</v>
      </c>
      <c r="E59" s="1">
        <f>0.8*(70)/100</f>
        <v>0.56000000000000005</v>
      </c>
      <c r="F59" s="1">
        <f>0.65*(80)/100</f>
        <v>0.52</v>
      </c>
      <c r="G59" s="1">
        <f>0.2*(76)/100</f>
        <v>0.15200000000000002</v>
      </c>
      <c r="H59" s="2">
        <f>0.92*(72)/100</f>
        <v>0.6624000000000001</v>
      </c>
      <c r="I59" s="2">
        <f>1.1*(73)/100</f>
        <v>0.80300000000000016</v>
      </c>
      <c r="J59" s="2">
        <f>1*(84)/100</f>
        <v>0.84</v>
      </c>
      <c r="K59" s="2">
        <f>2.8*(89)/100</f>
        <v>2.492</v>
      </c>
      <c r="L59" s="2">
        <f>1.2*(88)/100</f>
        <v>1.056</v>
      </c>
      <c r="M59" s="2">
        <f>1.33*(81)/100</f>
        <v>1.0773000000000001</v>
      </c>
    </row>
    <row r="60" spans="1:13" x14ac:dyDescent="0.25">
      <c r="A60" s="2" t="s">
        <v>12</v>
      </c>
      <c r="B60" s="1">
        <f>1.9*(97)/100</f>
        <v>1.8429999999999997</v>
      </c>
      <c r="C60" s="1">
        <f>1.1*(86)/100</f>
        <v>0.94600000000000006</v>
      </c>
      <c r="D60" s="2">
        <f t="shared" si="40"/>
        <v>2.7889999999999997</v>
      </c>
      <c r="E60" s="1">
        <f>1*(88)/100</f>
        <v>0.88</v>
      </c>
      <c r="F60" s="1">
        <f>1.2*(94)/100</f>
        <v>1.1279999999999999</v>
      </c>
      <c r="G60" s="1">
        <v>0.3</v>
      </c>
      <c r="H60" s="2">
        <f>2*(92)/100</f>
        <v>1.84</v>
      </c>
      <c r="I60" s="2">
        <f>1.9*(96)/100</f>
        <v>1.8239999999999998</v>
      </c>
      <c r="J60" s="2">
        <f>2.3*(95)/100</f>
        <v>2.1849999999999996</v>
      </c>
      <c r="K60" s="2">
        <f>9.4*(98)/100</f>
        <v>9.2119999999999997</v>
      </c>
      <c r="L60" s="2">
        <f>3.8*(97)/100</f>
        <v>3.6859999999999995</v>
      </c>
      <c r="M60" s="2">
        <f>2.7*(95)/100</f>
        <v>2.5649999999999999</v>
      </c>
    </row>
    <row r="61" spans="1:13" x14ac:dyDescent="0.25">
      <c r="A61" s="2" t="s">
        <v>13</v>
      </c>
      <c r="B61" s="2">
        <f>0.67*(85)/100</f>
        <v>0.56950000000000001</v>
      </c>
      <c r="C61" s="2">
        <f>0.33*(58)/100</f>
        <v>0.19140000000000001</v>
      </c>
      <c r="D61" s="2">
        <f t="shared" si="40"/>
        <v>0.76090000000000002</v>
      </c>
      <c r="E61" s="2">
        <f>2.6*(79)/100</f>
        <v>2.0540000000000003</v>
      </c>
      <c r="F61" s="2">
        <f>0.96*(80)/100</f>
        <v>0.76800000000000002</v>
      </c>
      <c r="G61" s="2">
        <v>0.26</v>
      </c>
      <c r="H61" s="2">
        <f>1.7*(79)/100</f>
        <v>1.3429999999999997</v>
      </c>
      <c r="I61" s="2">
        <f>3.35*(85)/100</f>
        <v>2.8475000000000001</v>
      </c>
      <c r="J61" s="2">
        <f>1.7*(83)/100</f>
        <v>1.411</v>
      </c>
      <c r="K61" s="2">
        <f>3.2*(84)/100</f>
        <v>2.6880000000000002</v>
      </c>
      <c r="L61" s="2">
        <f>1.7*(84)/100</f>
        <v>1.4279999999999999</v>
      </c>
      <c r="M61" s="2">
        <f>2.25*(82)/100</f>
        <v>1.845</v>
      </c>
    </row>
    <row r="62" spans="1:13" x14ac:dyDescent="0.25">
      <c r="A62" s="2" t="s">
        <v>14</v>
      </c>
      <c r="B62" s="2">
        <f>0.65*(76)/100</f>
        <v>0.49399999999999999</v>
      </c>
      <c r="C62" s="2">
        <f>4*(59)/100</f>
        <v>2.36</v>
      </c>
      <c r="D62" s="2">
        <f t="shared" si="40"/>
        <v>2.8540000000000001</v>
      </c>
      <c r="E62" s="2">
        <f>2.05*(66)/100</f>
        <v>1.3529999999999998</v>
      </c>
      <c r="F62" s="2">
        <f>0.78*(72)/100</f>
        <v>0.56159999999999999</v>
      </c>
      <c r="G62" s="2">
        <v>0.5</v>
      </c>
      <c r="H62" s="2">
        <f>3.8*(73)/100</f>
        <v>2.7739999999999996</v>
      </c>
      <c r="I62" s="2">
        <f>5.75*(83)/100</f>
        <v>4.7725</v>
      </c>
      <c r="J62" s="2">
        <f>3.66*(85)/100</f>
        <v>3.1110000000000002</v>
      </c>
      <c r="K62" s="2">
        <f>7.8*(82)/100</f>
        <v>6.3959999999999999</v>
      </c>
      <c r="L62" s="2">
        <f>3.54*(85)/100</f>
        <v>3.0089999999999999</v>
      </c>
      <c r="M62" s="2">
        <f>5.75*(82)/100</f>
        <v>4.7149999999999999</v>
      </c>
    </row>
    <row r="63" spans="1:13" x14ac:dyDescent="0.25">
      <c r="A63" s="2" t="s">
        <v>99</v>
      </c>
      <c r="B63" s="2">
        <v>1.9</v>
      </c>
      <c r="C63" s="2">
        <v>0.6</v>
      </c>
      <c r="D63" s="2">
        <f t="shared" si="40"/>
        <v>2.5</v>
      </c>
      <c r="E63" s="2">
        <v>4.9000000000000004</v>
      </c>
      <c r="F63" s="30">
        <v>1.5</v>
      </c>
      <c r="G63" s="30">
        <v>0.75</v>
      </c>
      <c r="H63" s="30">
        <v>2.7</v>
      </c>
      <c r="I63" s="30">
        <v>3.38</v>
      </c>
      <c r="J63" s="30">
        <v>3</v>
      </c>
      <c r="K63" s="30">
        <v>5</v>
      </c>
      <c r="L63" s="30">
        <v>2.39</v>
      </c>
      <c r="M63" s="30">
        <v>3.4</v>
      </c>
    </row>
    <row r="64" spans="1:13" x14ac:dyDescent="0.25">
      <c r="B64" s="2" t="s">
        <v>49</v>
      </c>
      <c r="C64" s="2" t="s">
        <v>50</v>
      </c>
      <c r="D64" s="2" t="s">
        <v>383</v>
      </c>
      <c r="E64" s="2" t="s">
        <v>51</v>
      </c>
      <c r="F64" s="2" t="s">
        <v>55</v>
      </c>
      <c r="G64" s="2" t="s">
        <v>52</v>
      </c>
      <c r="H64" s="21" t="s">
        <v>53</v>
      </c>
      <c r="I64" s="2" t="s">
        <v>58</v>
      </c>
      <c r="J64" s="2" t="s">
        <v>54</v>
      </c>
      <c r="K64" s="2" t="s">
        <v>57</v>
      </c>
      <c r="L64" s="2" t="s">
        <v>89</v>
      </c>
      <c r="M64" s="2" t="s">
        <v>56</v>
      </c>
    </row>
    <row r="65" spans="1:13" x14ac:dyDescent="0.25">
      <c r="A65" s="2" t="s">
        <v>11</v>
      </c>
      <c r="B65" s="2">
        <v>0.54</v>
      </c>
      <c r="C65" s="2">
        <v>0.55000000000000004</v>
      </c>
      <c r="D65" s="2">
        <f>B65+C65</f>
        <v>1.0900000000000001</v>
      </c>
      <c r="E65" s="2">
        <v>2.4</v>
      </c>
      <c r="F65" s="2">
        <v>1.01</v>
      </c>
      <c r="G65" s="21">
        <v>0.52</v>
      </c>
      <c r="H65" s="2">
        <v>1.69</v>
      </c>
      <c r="I65" s="2">
        <v>2.8</v>
      </c>
      <c r="J65" s="2">
        <v>2.1800000000000002</v>
      </c>
      <c r="K65" s="2">
        <v>2.8</v>
      </c>
      <c r="L65" s="2">
        <v>2.1</v>
      </c>
      <c r="M65" s="2">
        <v>2.02</v>
      </c>
    </row>
    <row r="66" spans="1:13" x14ac:dyDescent="0.25">
      <c r="A66" s="2" t="s">
        <v>9</v>
      </c>
      <c r="B66" s="2">
        <v>0.65</v>
      </c>
      <c r="C66" s="2">
        <v>0.67</v>
      </c>
      <c r="D66" s="2">
        <f>B66+C66</f>
        <v>1.32</v>
      </c>
      <c r="E66" s="20">
        <v>2.7</v>
      </c>
      <c r="F66" s="2">
        <v>1.1000000000000001</v>
      </c>
      <c r="G66" s="21">
        <v>0.6</v>
      </c>
      <c r="H66" s="2">
        <v>1.7</v>
      </c>
      <c r="I66" s="2">
        <v>3.4</v>
      </c>
      <c r="J66" s="2">
        <v>2.5</v>
      </c>
      <c r="K66" s="2">
        <v>3.4</v>
      </c>
      <c r="L66" s="2">
        <v>2.2000000000000002</v>
      </c>
      <c r="M66" s="2">
        <v>2.4</v>
      </c>
    </row>
    <row r="67" spans="1:13" x14ac:dyDescent="0.25">
      <c r="A67" s="23" t="s">
        <v>387</v>
      </c>
      <c r="B67" s="23">
        <v>0.92</v>
      </c>
      <c r="C67" s="23">
        <v>0.82</v>
      </c>
      <c r="D67" s="23">
        <f>(0.7*0.92+0.71*0.82)/1.41</f>
        <v>0.86964539007092201</v>
      </c>
      <c r="E67" s="23">
        <v>0.91</v>
      </c>
      <c r="F67" s="23">
        <v>0.88</v>
      </c>
      <c r="G67" s="23">
        <v>1</v>
      </c>
      <c r="H67" s="23">
        <v>0.88</v>
      </c>
      <c r="I67" s="23">
        <v>0.92</v>
      </c>
      <c r="J67" s="23">
        <v>0.93</v>
      </c>
      <c r="K67" s="23">
        <v>0.92</v>
      </c>
      <c r="L67" s="23">
        <v>0.92</v>
      </c>
      <c r="M67" s="23">
        <v>0.91</v>
      </c>
    </row>
    <row r="68" spans="1:13" x14ac:dyDescent="0.25">
      <c r="A68" s="2" t="s">
        <v>389</v>
      </c>
      <c r="B68" s="22">
        <f t="shared" ref="B68:M68" si="41">B65*B$67</f>
        <v>0.49680000000000007</v>
      </c>
      <c r="C68" s="22">
        <f t="shared" si="41"/>
        <v>0.45100000000000001</v>
      </c>
      <c r="D68" s="22">
        <f t="shared" si="41"/>
        <v>0.94791347517730506</v>
      </c>
      <c r="E68" s="22">
        <f t="shared" si="41"/>
        <v>2.1840000000000002</v>
      </c>
      <c r="F68" s="22">
        <f t="shared" si="41"/>
        <v>0.88880000000000003</v>
      </c>
      <c r="G68" s="22">
        <f t="shared" si="41"/>
        <v>0.52</v>
      </c>
      <c r="H68" s="22">
        <f t="shared" si="41"/>
        <v>1.4871999999999999</v>
      </c>
      <c r="I68" s="22">
        <f t="shared" si="41"/>
        <v>2.5760000000000001</v>
      </c>
      <c r="J68" s="22">
        <f t="shared" si="41"/>
        <v>2.0274000000000001</v>
      </c>
      <c r="K68" s="22">
        <f t="shared" si="41"/>
        <v>2.5760000000000001</v>
      </c>
      <c r="L68" s="22">
        <f t="shared" si="41"/>
        <v>1.9320000000000002</v>
      </c>
      <c r="M68" s="22">
        <f t="shared" si="41"/>
        <v>1.8382000000000001</v>
      </c>
    </row>
    <row r="69" spans="1:13" x14ac:dyDescent="0.25">
      <c r="A69" s="2" t="s">
        <v>388</v>
      </c>
      <c r="B69" s="22">
        <f t="shared" ref="B69:M69" si="42">B66*B$67</f>
        <v>0.59800000000000009</v>
      </c>
      <c r="C69" s="22">
        <f t="shared" si="42"/>
        <v>0.5494</v>
      </c>
      <c r="D69" s="22">
        <f t="shared" si="42"/>
        <v>1.1479319148936171</v>
      </c>
      <c r="E69" s="22">
        <f t="shared" si="42"/>
        <v>2.4570000000000003</v>
      </c>
      <c r="F69" s="22">
        <f t="shared" si="42"/>
        <v>0.96800000000000008</v>
      </c>
      <c r="G69" s="22">
        <f t="shared" si="42"/>
        <v>0.6</v>
      </c>
      <c r="H69" s="22">
        <f t="shared" si="42"/>
        <v>1.496</v>
      </c>
      <c r="I69" s="22">
        <f t="shared" si="42"/>
        <v>3.1280000000000001</v>
      </c>
      <c r="J69" s="22">
        <f t="shared" si="42"/>
        <v>2.3250000000000002</v>
      </c>
      <c r="K69" s="22">
        <f t="shared" si="42"/>
        <v>3.1280000000000001</v>
      </c>
      <c r="L69" s="22">
        <f t="shared" si="42"/>
        <v>2.0240000000000005</v>
      </c>
      <c r="M69" s="22">
        <f t="shared" si="42"/>
        <v>2.1840000000000002</v>
      </c>
    </row>
    <row r="72" spans="1:13" x14ac:dyDescent="0.25">
      <c r="B72" s="30"/>
      <c r="C72" s="30"/>
      <c r="D72" s="31"/>
      <c r="E72" s="30"/>
      <c r="F72" s="30"/>
      <c r="G72" s="30"/>
      <c r="H72" s="30"/>
      <c r="I72" s="30"/>
      <c r="J72" s="30"/>
      <c r="K72" s="30"/>
      <c r="L72" s="30"/>
    </row>
    <row r="73" spans="1:13" x14ac:dyDescent="0.25">
      <c r="B73" s="30"/>
      <c r="C73" s="30"/>
      <c r="D73" s="31"/>
    </row>
    <row r="74" spans="1:13" x14ac:dyDescent="0.25">
      <c r="B74" s="30"/>
      <c r="C74" s="30"/>
      <c r="D74" s="31"/>
      <c r="E74" s="30"/>
      <c r="F74" s="30"/>
      <c r="G74" s="30"/>
      <c r="H74" s="30"/>
      <c r="I74" s="30"/>
      <c r="J74" s="30"/>
      <c r="K74" s="30"/>
      <c r="L74" s="30"/>
    </row>
    <row r="75" spans="1:13" x14ac:dyDescent="0.25">
      <c r="B75" s="30"/>
      <c r="C75" s="30"/>
      <c r="D75" s="30"/>
      <c r="E75" s="30"/>
      <c r="F75" s="30"/>
      <c r="G75" s="30"/>
      <c r="H75" s="20"/>
      <c r="I75" s="30"/>
      <c r="J75" s="30"/>
      <c r="K75" s="30"/>
      <c r="L75" s="30"/>
    </row>
  </sheetData>
  <phoneticPr fontId="1" type="noConversion"/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I14" sqref="I14"/>
    </sheetView>
  </sheetViews>
  <sheetFormatPr defaultRowHeight="16.5" x14ac:dyDescent="0.25"/>
  <cols>
    <col min="1" max="1" width="13" style="2" bestFit="1" customWidth="1"/>
    <col min="2" max="2" width="9" style="2" customWidth="1"/>
    <col min="3" max="4" width="5.375" style="2" customWidth="1"/>
    <col min="5" max="5" width="7.625" style="2" customWidth="1"/>
    <col min="6" max="6" width="8" style="2" customWidth="1"/>
    <col min="7" max="7" width="5.375" style="2" customWidth="1"/>
    <col min="8" max="8" width="4.375" style="2" customWidth="1"/>
    <col min="9" max="9" width="5.375" style="2" customWidth="1"/>
    <col min="10" max="14" width="4.375" style="2" customWidth="1"/>
    <col min="15" max="15" width="5.125" style="2" customWidth="1"/>
    <col min="16" max="23" width="4.375" style="2" customWidth="1"/>
    <col min="24" max="24" width="13" style="2" customWidth="1"/>
    <col min="25" max="25" width="4.875" style="2" customWidth="1"/>
    <col min="26" max="26" width="5" style="2" customWidth="1"/>
    <col min="27" max="27" width="4.875" style="2" customWidth="1"/>
    <col min="28" max="28" width="7.125" style="2" bestFit="1" customWidth="1"/>
    <col min="29" max="29" width="4.625" style="2" bestFit="1" customWidth="1"/>
    <col min="30" max="30" width="4.375" style="2" customWidth="1"/>
    <col min="31" max="31" width="4.625" style="2" customWidth="1"/>
    <col min="32" max="32" width="4.5" style="2" customWidth="1"/>
    <col min="33" max="33" width="4.75" style="2" customWidth="1"/>
    <col min="34" max="34" width="4.375" style="2" bestFit="1" customWidth="1"/>
    <col min="35" max="35" width="4.75" style="2" bestFit="1" customWidth="1"/>
    <col min="36" max="36" width="4.75" style="2" customWidth="1"/>
    <col min="37" max="37" width="4.5" style="2" customWidth="1"/>
    <col min="38" max="42" width="4.375" style="2" customWidth="1"/>
    <col min="43" max="43" width="6.375" style="2" customWidth="1"/>
    <col min="44" max="44" width="6.375" style="2" bestFit="1" customWidth="1"/>
    <col min="45" max="45" width="5.375" style="2" customWidth="1"/>
    <col min="46" max="46" width="6.375" style="2" customWidth="1"/>
    <col min="47" max="47" width="4.375" style="2" customWidth="1"/>
    <col min="48" max="48" width="13" style="2" customWidth="1"/>
    <col min="49" max="50" width="4.25" style="2" customWidth="1"/>
    <col min="51" max="51" width="9.625" style="2" bestFit="1" customWidth="1"/>
    <col min="52" max="54" width="5.5" style="2" customWidth="1"/>
    <col min="55" max="56" width="5.625" style="2" customWidth="1"/>
    <col min="57" max="57" width="6.375" style="2" customWidth="1"/>
    <col min="58" max="61" width="5.625" style="2" customWidth="1"/>
    <col min="62" max="62" width="6.375" style="2" customWidth="1"/>
    <col min="63" max="63" width="5.5" style="2" customWidth="1"/>
    <col min="64" max="64" width="6.625" style="2" customWidth="1"/>
    <col min="65" max="16384" width="9" style="2"/>
  </cols>
  <sheetData>
    <row r="1" spans="1:64" ht="15.75" customHeight="1" x14ac:dyDescent="0.25">
      <c r="A1" s="2" t="s">
        <v>189</v>
      </c>
      <c r="B1" s="1" t="s">
        <v>300</v>
      </c>
      <c r="C1" s="1" t="s">
        <v>301</v>
      </c>
      <c r="D1" s="1" t="s">
        <v>302</v>
      </c>
      <c r="E1" s="1" t="s">
        <v>303</v>
      </c>
      <c r="F1" s="1" t="s">
        <v>304</v>
      </c>
      <c r="G1" s="1" t="s">
        <v>305</v>
      </c>
      <c r="H1" s="1" t="s">
        <v>306</v>
      </c>
      <c r="I1" s="1" t="s">
        <v>307</v>
      </c>
      <c r="J1" s="1" t="s">
        <v>308</v>
      </c>
      <c r="K1" s="1" t="s">
        <v>309</v>
      </c>
      <c r="L1" s="1" t="s">
        <v>310</v>
      </c>
      <c r="M1" s="1" t="s">
        <v>311</v>
      </c>
      <c r="N1" s="1" t="s">
        <v>312</v>
      </c>
      <c r="O1" s="1" t="s">
        <v>313</v>
      </c>
      <c r="P1" s="1" t="s">
        <v>314</v>
      </c>
      <c r="Q1" s="1" t="s">
        <v>315</v>
      </c>
      <c r="R1" s="1" t="s">
        <v>316</v>
      </c>
      <c r="S1" s="1" t="s">
        <v>317</v>
      </c>
      <c r="T1" s="1" t="s">
        <v>318</v>
      </c>
      <c r="U1" s="1" t="s">
        <v>319</v>
      </c>
      <c r="V1" s="1" t="s">
        <v>320</v>
      </c>
      <c r="W1" s="1" t="s">
        <v>321</v>
      </c>
      <c r="X1" s="2" t="s">
        <v>189</v>
      </c>
      <c r="Y1" s="1" t="s">
        <v>322</v>
      </c>
      <c r="Z1" s="1" t="s">
        <v>323</v>
      </c>
      <c r="AA1" s="1" t="s">
        <v>324</v>
      </c>
      <c r="AB1" s="1" t="s">
        <v>325</v>
      </c>
      <c r="AC1" s="1" t="s">
        <v>326</v>
      </c>
      <c r="AD1" s="1" t="s">
        <v>327</v>
      </c>
      <c r="AE1" s="1" t="s">
        <v>328</v>
      </c>
      <c r="AF1" s="1" t="s">
        <v>329</v>
      </c>
      <c r="AG1" s="1" t="s">
        <v>330</v>
      </c>
      <c r="AH1" s="1" t="s">
        <v>331</v>
      </c>
      <c r="AI1" s="1" t="s">
        <v>332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  <c r="AS1" s="1" t="s">
        <v>342</v>
      </c>
      <c r="AT1" s="1" t="s">
        <v>343</v>
      </c>
      <c r="AU1" s="1" t="s">
        <v>344</v>
      </c>
      <c r="AV1" s="2" t="s">
        <v>189</v>
      </c>
      <c r="AW1" s="1" t="s">
        <v>345</v>
      </c>
      <c r="AX1" s="1" t="s">
        <v>346</v>
      </c>
      <c r="AY1" s="1" t="s">
        <v>347</v>
      </c>
      <c r="AZ1" s="1" t="s">
        <v>348</v>
      </c>
      <c r="BA1" s="1" t="s">
        <v>349</v>
      </c>
      <c r="BB1" s="1" t="s">
        <v>350</v>
      </c>
      <c r="BC1" s="1" t="s">
        <v>351</v>
      </c>
      <c r="BD1" s="1" t="s">
        <v>352</v>
      </c>
      <c r="BE1" s="1" t="s">
        <v>353</v>
      </c>
      <c r="BF1" s="1" t="s">
        <v>354</v>
      </c>
      <c r="BG1" s="1" t="s">
        <v>355</v>
      </c>
      <c r="BH1" s="1" t="s">
        <v>356</v>
      </c>
      <c r="BI1" s="1" t="s">
        <v>357</v>
      </c>
      <c r="BJ1" s="1" t="s">
        <v>358</v>
      </c>
      <c r="BK1" s="1" t="s">
        <v>359</v>
      </c>
      <c r="BL1" s="1" t="s">
        <v>360</v>
      </c>
    </row>
    <row r="2" spans="1:64" ht="15.75" customHeight="1" x14ac:dyDescent="0.25">
      <c r="A2" s="2" t="s">
        <v>188</v>
      </c>
      <c r="B2" s="1" t="s">
        <v>215</v>
      </c>
      <c r="C2" s="1" t="s">
        <v>215</v>
      </c>
      <c r="D2" s="1" t="s">
        <v>215</v>
      </c>
      <c r="E2" s="1" t="s">
        <v>77</v>
      </c>
      <c r="F2" s="1" t="s">
        <v>77</v>
      </c>
      <c r="G2" s="1" t="s">
        <v>215</v>
      </c>
      <c r="H2" s="1" t="s">
        <v>215</v>
      </c>
      <c r="I2" s="1" t="s">
        <v>215</v>
      </c>
      <c r="J2" s="1" t="s">
        <v>215</v>
      </c>
      <c r="K2" s="1" t="s">
        <v>215</v>
      </c>
      <c r="L2" s="1" t="s">
        <v>215</v>
      </c>
      <c r="M2" s="1" t="s">
        <v>215</v>
      </c>
      <c r="N2" s="1" t="s">
        <v>215</v>
      </c>
      <c r="O2" s="1" t="s">
        <v>215</v>
      </c>
      <c r="P2" s="1" t="s">
        <v>215</v>
      </c>
      <c r="Q2" s="1" t="s">
        <v>215</v>
      </c>
      <c r="R2" s="1" t="s">
        <v>215</v>
      </c>
      <c r="S2" s="1" t="s">
        <v>215</v>
      </c>
      <c r="T2" s="1" t="s">
        <v>215</v>
      </c>
      <c r="U2" s="1" t="s">
        <v>215</v>
      </c>
      <c r="V2" s="1" t="s">
        <v>215</v>
      </c>
      <c r="W2" s="1" t="s">
        <v>215</v>
      </c>
      <c r="X2" s="2" t="s">
        <v>188</v>
      </c>
      <c r="Y2" s="1" t="s">
        <v>215</v>
      </c>
      <c r="Z2" s="1" t="s">
        <v>215</v>
      </c>
      <c r="AA2" s="1" t="s">
        <v>215</v>
      </c>
      <c r="AB2" s="1" t="s">
        <v>215</v>
      </c>
      <c r="AC2" s="1" t="s">
        <v>215</v>
      </c>
      <c r="AD2" s="1" t="s">
        <v>215</v>
      </c>
      <c r="AE2" s="1" t="s">
        <v>215</v>
      </c>
      <c r="AF2" s="1" t="s">
        <v>215</v>
      </c>
      <c r="AG2" s="1" t="s">
        <v>215</v>
      </c>
      <c r="AH2" s="1" t="s">
        <v>215</v>
      </c>
      <c r="AI2" s="1" t="s">
        <v>215</v>
      </c>
      <c r="AJ2" s="1" t="s">
        <v>215</v>
      </c>
      <c r="AK2" s="1" t="s">
        <v>215</v>
      </c>
      <c r="AL2" s="1" t="s">
        <v>215</v>
      </c>
      <c r="AM2" s="1" t="s">
        <v>215</v>
      </c>
      <c r="AN2" s="1" t="s">
        <v>215</v>
      </c>
      <c r="AO2" s="1" t="s">
        <v>215</v>
      </c>
      <c r="AP2" s="1" t="s">
        <v>215</v>
      </c>
      <c r="AQ2" s="1" t="s">
        <v>81</v>
      </c>
      <c r="AR2" s="1" t="s">
        <v>81</v>
      </c>
      <c r="AS2" s="1" t="s">
        <v>81</v>
      </c>
      <c r="AT2" s="1" t="s">
        <v>81</v>
      </c>
      <c r="AU2" s="1" t="s">
        <v>81</v>
      </c>
      <c r="AV2" s="2" t="s">
        <v>188</v>
      </c>
      <c r="AW2" s="1" t="s">
        <v>81</v>
      </c>
      <c r="AX2" s="1" t="s">
        <v>81</v>
      </c>
      <c r="AY2" s="1" t="s">
        <v>78</v>
      </c>
      <c r="AZ2" s="1" t="s">
        <v>78</v>
      </c>
      <c r="BA2" s="1" t="s">
        <v>78</v>
      </c>
      <c r="BB2" s="1" t="s">
        <v>78</v>
      </c>
      <c r="BC2" s="1" t="s">
        <v>78</v>
      </c>
      <c r="BD2" s="1" t="s">
        <v>78</v>
      </c>
      <c r="BE2" s="1" t="s">
        <v>78</v>
      </c>
      <c r="BF2" s="1" t="s">
        <v>78</v>
      </c>
      <c r="BG2" s="1" t="s">
        <v>78</v>
      </c>
      <c r="BH2" s="1" t="s">
        <v>78</v>
      </c>
      <c r="BI2" s="1" t="s">
        <v>78</v>
      </c>
      <c r="BJ2" s="1" t="s">
        <v>80</v>
      </c>
      <c r="BK2" s="1" t="s">
        <v>78</v>
      </c>
      <c r="BL2" s="1" t="s">
        <v>80</v>
      </c>
    </row>
    <row r="3" spans="1:64" ht="16.5" customHeight="1" x14ac:dyDescent="0.25">
      <c r="A3" s="2" t="s">
        <v>0</v>
      </c>
      <c r="B3" s="14">
        <v>88.31</v>
      </c>
      <c r="C3" s="14">
        <v>8.24</v>
      </c>
      <c r="D3" s="14">
        <f>C3*0.8</f>
        <v>6.5920000000000005</v>
      </c>
      <c r="E3" s="1" t="s">
        <v>299</v>
      </c>
      <c r="F3" s="1">
        <v>3395</v>
      </c>
      <c r="G3" s="14">
        <v>3.48</v>
      </c>
      <c r="H3" s="14">
        <v>1.98</v>
      </c>
      <c r="I3" s="14">
        <v>0.02</v>
      </c>
      <c r="J3" s="14">
        <v>0.26</v>
      </c>
      <c r="K3" s="14">
        <f>J3-0.21</f>
        <v>5.0000000000000017E-2</v>
      </c>
      <c r="L3" s="14">
        <f>G3*0.0137</f>
        <v>4.7676000000000003E-2</v>
      </c>
      <c r="M3" s="14">
        <v>0.18</v>
      </c>
      <c r="N3" s="14">
        <v>0.19</v>
      </c>
      <c r="O3" s="14">
        <f>M3+N3</f>
        <v>0.37</v>
      </c>
      <c r="P3" s="14">
        <v>0.25</v>
      </c>
      <c r="Q3" s="14">
        <v>0.24</v>
      </c>
      <c r="R3" s="14">
        <v>0.06</v>
      </c>
      <c r="S3" s="14">
        <v>0.28000000000000003</v>
      </c>
      <c r="T3" s="14">
        <v>0.37</v>
      </c>
      <c r="U3" s="14">
        <v>0.28000000000000003</v>
      </c>
      <c r="V3" s="14">
        <v>0.96</v>
      </c>
      <c r="W3" s="14">
        <v>0.39</v>
      </c>
      <c r="X3" s="2" t="s">
        <v>0</v>
      </c>
      <c r="Y3" s="1">
        <v>0.38</v>
      </c>
      <c r="Z3" s="14">
        <f>M3*0.83</f>
        <v>0.14939999999999998</v>
      </c>
      <c r="AA3" s="14">
        <f>N3*0.8</f>
        <v>0.15200000000000002</v>
      </c>
      <c r="AB3" s="14">
        <f>Z3+AA3</f>
        <v>0.3014</v>
      </c>
      <c r="AC3" s="14">
        <f>0.25*0.74</f>
        <v>0.185</v>
      </c>
      <c r="AD3" s="14">
        <f>0.24*0.83</f>
        <v>0.19919999999999999</v>
      </c>
      <c r="AE3" s="14">
        <f>0.06*0.8</f>
        <v>4.8000000000000001E-2</v>
      </c>
      <c r="AF3" s="14">
        <f>0.28*0.77</f>
        <v>0.21560000000000001</v>
      </c>
      <c r="AG3" s="14">
        <f>0.37*0.87</f>
        <v>0.32190000000000002</v>
      </c>
      <c r="AH3" s="14">
        <f>0.28*0.82</f>
        <v>0.2296</v>
      </c>
      <c r="AI3" s="14">
        <f>0.96*0.87</f>
        <v>0.83519999999999994</v>
      </c>
      <c r="AJ3" s="14">
        <f>0.39*0.85</f>
        <v>0.33150000000000002</v>
      </c>
      <c r="AK3" s="14">
        <f>0.38*0.82</f>
        <v>0.31159999999999999</v>
      </c>
      <c r="AL3" s="14">
        <v>0.05</v>
      </c>
      <c r="AM3" s="14">
        <v>0.12</v>
      </c>
      <c r="AN3" s="14">
        <v>0.02</v>
      </c>
      <c r="AO3" s="14">
        <v>0.32</v>
      </c>
      <c r="AP3" s="14" t="s">
        <v>299</v>
      </c>
      <c r="AQ3" s="14">
        <v>18.38</v>
      </c>
      <c r="AR3" s="14">
        <v>4.3099999999999996</v>
      </c>
      <c r="AS3" s="14">
        <v>3.41</v>
      </c>
      <c r="AT3" s="14">
        <v>16.510000000000002</v>
      </c>
      <c r="AU3" s="14">
        <v>7.0000000000000007E-2</v>
      </c>
      <c r="AV3" s="2" t="s">
        <v>0</v>
      </c>
      <c r="AW3" s="1" t="s">
        <v>299</v>
      </c>
      <c r="AX3" s="1" t="s">
        <v>299</v>
      </c>
      <c r="AY3" s="1">
        <v>0.8</v>
      </c>
      <c r="AZ3" s="1" t="s">
        <v>299</v>
      </c>
      <c r="BA3" s="14">
        <v>11.65</v>
      </c>
      <c r="BB3" s="1" t="s">
        <v>299</v>
      </c>
      <c r="BC3" s="14">
        <v>3.5</v>
      </c>
      <c r="BD3" s="14">
        <v>1.2</v>
      </c>
      <c r="BE3" s="14">
        <v>24</v>
      </c>
      <c r="BF3" s="14">
        <v>6</v>
      </c>
      <c r="BG3" s="14">
        <v>5</v>
      </c>
      <c r="BH3" s="14">
        <v>0.06</v>
      </c>
      <c r="BI3" s="14">
        <v>0.15</v>
      </c>
      <c r="BJ3" s="1">
        <v>0</v>
      </c>
      <c r="BK3" s="1" t="s">
        <v>299</v>
      </c>
      <c r="BL3" s="1">
        <v>620</v>
      </c>
    </row>
    <row r="4" spans="1:64" ht="16.5" customHeight="1" x14ac:dyDescent="0.25">
      <c r="A4" s="2" t="s">
        <v>1</v>
      </c>
      <c r="B4" s="14">
        <v>89.9</v>
      </c>
      <c r="C4" s="14">
        <v>11.33</v>
      </c>
      <c r="D4" s="14">
        <f>11.33*0.79</f>
        <v>8.9507000000000012</v>
      </c>
      <c r="E4" s="1" t="s">
        <v>299</v>
      </c>
      <c r="F4" s="1">
        <v>3073</v>
      </c>
      <c r="G4" s="14">
        <v>2.11</v>
      </c>
      <c r="H4" s="14">
        <v>3.9</v>
      </c>
      <c r="I4" s="14">
        <v>0.06</v>
      </c>
      <c r="J4" s="14">
        <v>0.35</v>
      </c>
      <c r="K4" s="14">
        <f>J4-0.22</f>
        <v>0.12999999999999998</v>
      </c>
      <c r="L4" s="14">
        <f>G4*0.0481</f>
        <v>0.10149099999999998</v>
      </c>
      <c r="M4" s="14">
        <v>0.2</v>
      </c>
      <c r="N4" s="14">
        <v>0.26</v>
      </c>
      <c r="O4" s="14">
        <f>M4+N4</f>
        <v>0.46</v>
      </c>
      <c r="P4" s="14">
        <v>0.4</v>
      </c>
      <c r="Q4" s="14">
        <v>0.27</v>
      </c>
      <c r="R4" s="14">
        <v>0.13</v>
      </c>
      <c r="S4" s="14">
        <v>0.36</v>
      </c>
      <c r="T4" s="14">
        <v>0.53</v>
      </c>
      <c r="U4" s="14">
        <v>0.37</v>
      </c>
      <c r="V4" s="14">
        <v>0.72</v>
      </c>
      <c r="W4" s="14">
        <v>0.53</v>
      </c>
      <c r="X4" s="2" t="s">
        <v>1</v>
      </c>
      <c r="Y4" s="1">
        <v>0.52</v>
      </c>
      <c r="Z4" s="14">
        <f>M4*0.82</f>
        <v>0.16400000000000001</v>
      </c>
      <c r="AA4" s="14">
        <f>0.26*0.81</f>
        <v>0.21060000000000001</v>
      </c>
      <c r="AB4" s="14">
        <f>Z4+AA4</f>
        <v>0.37460000000000004</v>
      </c>
      <c r="AC4" s="14">
        <f>P4*0.75</f>
        <v>0.30000000000000004</v>
      </c>
      <c r="AD4" s="14">
        <f>Q4*0.81</f>
        <v>0.21870000000000003</v>
      </c>
      <c r="AE4" s="14">
        <f>R4*0.82</f>
        <v>0.1066</v>
      </c>
      <c r="AF4" s="14">
        <f>S4*0.76</f>
        <v>0.27360000000000001</v>
      </c>
      <c r="AG4" s="14">
        <f>T4*0.85</f>
        <v>0.45050000000000001</v>
      </c>
      <c r="AH4" s="14">
        <f>U4*0.79</f>
        <v>0.2923</v>
      </c>
      <c r="AI4" s="14">
        <f>V4*0.81</f>
        <v>0.58320000000000005</v>
      </c>
      <c r="AJ4" s="14">
        <f>W4*0.81</f>
        <v>0.42930000000000007</v>
      </c>
      <c r="AK4" s="14">
        <f>Y4*0.8</f>
        <v>0.41600000000000004</v>
      </c>
      <c r="AL4" s="14">
        <v>0.12</v>
      </c>
      <c r="AM4" s="14">
        <v>0.14000000000000001</v>
      </c>
      <c r="AN4" s="14">
        <v>0.02</v>
      </c>
      <c r="AO4" s="14">
        <v>0.38</v>
      </c>
      <c r="AP4" s="14">
        <v>0.13</v>
      </c>
      <c r="AQ4" s="14">
        <v>75.599999999999994</v>
      </c>
      <c r="AR4" s="14">
        <v>16.29</v>
      </c>
      <c r="AS4" s="14">
        <v>5.43</v>
      </c>
      <c r="AT4" s="14">
        <v>28.09</v>
      </c>
      <c r="AU4" s="14">
        <v>0.1</v>
      </c>
      <c r="AV4" s="2" t="s">
        <v>1</v>
      </c>
      <c r="AW4" s="1" t="s">
        <v>299</v>
      </c>
      <c r="AX4" s="1" t="s">
        <v>299</v>
      </c>
      <c r="AY4" s="1">
        <v>4.0999999999999996</v>
      </c>
      <c r="AZ4" s="1" t="s">
        <v>299</v>
      </c>
      <c r="BA4" s="14">
        <v>7.4</v>
      </c>
      <c r="BB4" s="1" t="s">
        <v>299</v>
      </c>
      <c r="BC4" s="14">
        <v>4.5</v>
      </c>
      <c r="BD4" s="14">
        <v>1.8</v>
      </c>
      <c r="BE4" s="14">
        <v>55</v>
      </c>
      <c r="BF4" s="14">
        <v>8</v>
      </c>
      <c r="BG4" s="14">
        <v>5</v>
      </c>
      <c r="BH4" s="14">
        <v>0.14000000000000001</v>
      </c>
      <c r="BI4" s="14">
        <v>0.31</v>
      </c>
      <c r="BJ4" s="1">
        <v>0</v>
      </c>
      <c r="BK4" s="1" t="s">
        <v>299</v>
      </c>
      <c r="BL4" s="1">
        <v>1034</v>
      </c>
    </row>
    <row r="5" spans="1:64" ht="16.5" customHeight="1" x14ac:dyDescent="0.25">
      <c r="A5" s="2" t="s">
        <v>2</v>
      </c>
      <c r="B5" s="14">
        <v>91.6</v>
      </c>
      <c r="C5" s="14">
        <v>15.11</v>
      </c>
      <c r="D5" s="14" t="s">
        <v>299</v>
      </c>
      <c r="E5" s="1"/>
      <c r="F5" s="1">
        <v>2997</v>
      </c>
      <c r="G5" s="14">
        <v>13.77</v>
      </c>
      <c r="H5" s="14" t="s">
        <v>299</v>
      </c>
      <c r="I5" s="14">
        <v>0.22</v>
      </c>
      <c r="J5" s="14">
        <v>2.16</v>
      </c>
      <c r="K5" s="14">
        <f>J5-1.74</f>
        <v>0.42000000000000015</v>
      </c>
      <c r="L5" s="14">
        <f>G5*0.0152</f>
        <v>0.20930399999999999</v>
      </c>
      <c r="M5" s="14">
        <v>0.3</v>
      </c>
      <c r="N5" s="14">
        <v>0.27</v>
      </c>
      <c r="O5" s="14">
        <f>M5+N5</f>
        <v>0.57000000000000006</v>
      </c>
      <c r="P5" s="14">
        <v>0.67</v>
      </c>
      <c r="Q5" s="14">
        <v>0.42</v>
      </c>
      <c r="R5" s="14">
        <v>0.19</v>
      </c>
      <c r="S5" s="14">
        <v>0.56000000000000005</v>
      </c>
      <c r="T5" s="14">
        <v>1.24</v>
      </c>
      <c r="U5" s="14">
        <v>0.51</v>
      </c>
      <c r="V5" s="14">
        <v>1.04</v>
      </c>
      <c r="W5" s="14">
        <v>0.65</v>
      </c>
      <c r="X5" s="2" t="s">
        <v>2</v>
      </c>
      <c r="Y5" s="1">
        <v>0.79</v>
      </c>
      <c r="Z5" s="14">
        <f>0.3*0.77</f>
        <v>0.23099999999999998</v>
      </c>
      <c r="AA5" s="14">
        <f>0.27*0.68</f>
        <v>0.18360000000000001</v>
      </c>
      <c r="AB5" s="14">
        <f t="shared" ref="AB5:AB20" si="0">Z5+AA5</f>
        <v>0.41459999999999997</v>
      </c>
      <c r="AC5" s="14">
        <f>0.67*0.78</f>
        <v>0.52260000000000006</v>
      </c>
      <c r="AD5" s="14">
        <f>0.42*0.87</f>
        <v>0.3654</v>
      </c>
      <c r="AE5" s="14">
        <f>0.19*0.73</f>
        <v>0.13869999999999999</v>
      </c>
      <c r="AF5" s="14">
        <f>0.56*0.71</f>
        <v>0.39760000000000001</v>
      </c>
      <c r="AG5" s="14">
        <f>1.24*0.89</f>
        <v>1.1035999999999999</v>
      </c>
      <c r="AH5" s="14">
        <f>0.51*0.69</f>
        <v>0.35189999999999999</v>
      </c>
      <c r="AI5" s="14">
        <f>1.04*0.7</f>
        <v>0.72799999999999998</v>
      </c>
      <c r="AJ5" s="14">
        <f>0.65*0.73</f>
        <v>0.47449999999999998</v>
      </c>
      <c r="AK5" s="14">
        <f>0.78*0.69</f>
        <v>0.53820000000000001</v>
      </c>
      <c r="AL5" s="14">
        <v>7.0000000000000007E-2</v>
      </c>
      <c r="AM5" s="14">
        <v>0.9</v>
      </c>
      <c r="AN5" s="14">
        <v>0.03</v>
      </c>
      <c r="AO5" s="14">
        <v>1.56</v>
      </c>
      <c r="AP5" s="14">
        <v>0.18</v>
      </c>
      <c r="AQ5" s="14">
        <v>190</v>
      </c>
      <c r="AR5" s="14">
        <v>228</v>
      </c>
      <c r="AS5" s="14">
        <v>9</v>
      </c>
      <c r="AT5" s="14">
        <v>30</v>
      </c>
      <c r="AU5" s="14">
        <v>0.4</v>
      </c>
      <c r="AV5" s="2" t="s">
        <v>2</v>
      </c>
      <c r="AW5" s="1" t="s">
        <v>299</v>
      </c>
      <c r="AX5" s="1" t="s">
        <v>299</v>
      </c>
      <c r="AY5" s="1" t="s">
        <v>299</v>
      </c>
      <c r="AZ5" s="1" t="s">
        <v>299</v>
      </c>
      <c r="BA5" s="14">
        <v>9.6999999999999993</v>
      </c>
      <c r="BB5" s="1" t="s">
        <v>299</v>
      </c>
      <c r="BC5" s="14">
        <v>22.5</v>
      </c>
      <c r="BD5" s="14">
        <v>2.5</v>
      </c>
      <c r="BE5" s="14">
        <v>293</v>
      </c>
      <c r="BF5" s="14">
        <v>23</v>
      </c>
      <c r="BG5" s="14">
        <v>26</v>
      </c>
      <c r="BH5" s="14">
        <v>0.35</v>
      </c>
      <c r="BI5" s="14">
        <v>2.2000000000000002</v>
      </c>
      <c r="BJ5" s="1">
        <v>0</v>
      </c>
      <c r="BK5" s="1" t="s">
        <v>299</v>
      </c>
      <c r="BL5" s="1">
        <v>1135</v>
      </c>
    </row>
    <row r="6" spans="1:64" ht="16.5" customHeight="1" x14ac:dyDescent="0.25">
      <c r="A6" s="2" t="s">
        <v>3</v>
      </c>
      <c r="B6" s="14">
        <v>87.38</v>
      </c>
      <c r="C6" s="14">
        <v>15.08</v>
      </c>
      <c r="D6" s="14">
        <f>C6*0.78</f>
        <v>11.762400000000001</v>
      </c>
      <c r="E6" s="1" t="s">
        <v>299</v>
      </c>
      <c r="F6" s="1">
        <v>2318</v>
      </c>
      <c r="G6" s="14">
        <v>4.72</v>
      </c>
      <c r="H6" s="14">
        <v>7.77</v>
      </c>
      <c r="I6" s="14">
        <v>0.1</v>
      </c>
      <c r="J6" s="14">
        <v>0.99</v>
      </c>
      <c r="K6" s="14">
        <f>J6-0.88</f>
        <v>0.10999999999999999</v>
      </c>
      <c r="L6" s="14">
        <f>G6*0.0393</f>
        <v>0.18549599999999999</v>
      </c>
      <c r="M6" s="14">
        <v>0.22</v>
      </c>
      <c r="N6" s="14">
        <v>0.74</v>
      </c>
      <c r="O6" s="14">
        <f>M6+N6</f>
        <v>0.96</v>
      </c>
      <c r="P6" s="14">
        <v>0.52</v>
      </c>
      <c r="Q6" s="14">
        <v>0.39</v>
      </c>
      <c r="R6" s="14">
        <v>0.22</v>
      </c>
      <c r="S6" s="14">
        <v>0.6</v>
      </c>
      <c r="T6" s="14">
        <v>0.77</v>
      </c>
      <c r="U6" s="14">
        <v>0.47</v>
      </c>
      <c r="V6" s="14">
        <v>0.8</v>
      </c>
      <c r="W6" s="14">
        <v>0.49</v>
      </c>
      <c r="X6" s="2" t="s">
        <v>3</v>
      </c>
      <c r="Y6" s="1">
        <v>0.66</v>
      </c>
      <c r="Z6" s="14">
        <f>0.22*0.72</f>
        <v>0.15839999999999999</v>
      </c>
      <c r="AA6" s="14">
        <f>0.74*0.77</f>
        <v>0.56979999999999997</v>
      </c>
      <c r="AB6" s="14">
        <f t="shared" si="0"/>
        <v>0.72819999999999996</v>
      </c>
      <c r="AC6" s="14">
        <f>0.52*0.73</f>
        <v>0.37959999999999999</v>
      </c>
      <c r="AD6" s="14">
        <f>0.39*0.76</f>
        <v>0.2964</v>
      </c>
      <c r="AE6" s="14">
        <f>0.22*0.73</f>
        <v>0.16059999999999999</v>
      </c>
      <c r="AF6" s="14">
        <f>0.6*0.64</f>
        <v>0.38400000000000001</v>
      </c>
      <c r="AG6" s="14">
        <f>0.77*0.78</f>
        <v>0.60060000000000002</v>
      </c>
      <c r="AH6" s="14">
        <f>0.47*0.75</f>
        <v>0.35249999999999998</v>
      </c>
      <c r="AI6" s="14">
        <f>0.8*0.73</f>
        <v>0.58399999999999996</v>
      </c>
      <c r="AJ6" s="14">
        <f>0.49*0.83</f>
        <v>0.40669999999999995</v>
      </c>
      <c r="AK6" s="14">
        <f>0.66*0.79</f>
        <v>0.52140000000000009</v>
      </c>
      <c r="AL6" s="14">
        <v>7.0000000000000007E-2</v>
      </c>
      <c r="AM6" s="14">
        <v>0.52</v>
      </c>
      <c r="AN6" s="14">
        <v>0.04</v>
      </c>
      <c r="AO6" s="14">
        <v>1.26</v>
      </c>
      <c r="AP6" s="14">
        <v>0.22</v>
      </c>
      <c r="AQ6" s="14">
        <v>170</v>
      </c>
      <c r="AR6" s="14">
        <v>113</v>
      </c>
      <c r="AS6" s="14">
        <v>14</v>
      </c>
      <c r="AT6" s="14">
        <v>100</v>
      </c>
      <c r="AU6" s="14">
        <v>0.51</v>
      </c>
      <c r="AV6" s="2" t="s">
        <v>3</v>
      </c>
      <c r="AW6" s="1" t="s">
        <v>299</v>
      </c>
      <c r="AX6" s="1" t="s">
        <v>299</v>
      </c>
      <c r="AY6" s="1">
        <v>1</v>
      </c>
      <c r="AZ6" s="1" t="s">
        <v>299</v>
      </c>
      <c r="BA6" s="14">
        <v>16.5</v>
      </c>
      <c r="BB6" s="1" t="s">
        <v>299</v>
      </c>
      <c r="BC6" s="14">
        <v>8</v>
      </c>
      <c r="BD6" s="14">
        <v>4.5999999999999996</v>
      </c>
      <c r="BE6" s="14">
        <v>186</v>
      </c>
      <c r="BF6" s="14">
        <v>31</v>
      </c>
      <c r="BG6" s="14">
        <v>12</v>
      </c>
      <c r="BH6" s="14">
        <v>0.36</v>
      </c>
      <c r="BI6" s="14">
        <v>0.63</v>
      </c>
      <c r="BJ6" s="1">
        <v>0</v>
      </c>
      <c r="BK6" s="1" t="s">
        <v>299</v>
      </c>
      <c r="BL6" s="1">
        <v>1232</v>
      </c>
    </row>
    <row r="7" spans="1:64" ht="16.5" customHeight="1" x14ac:dyDescent="0.25">
      <c r="A7" s="2" t="s">
        <v>4</v>
      </c>
      <c r="B7" s="14">
        <v>89.1</v>
      </c>
      <c r="C7" s="14">
        <v>15.76</v>
      </c>
      <c r="D7" s="14" t="s">
        <v>299</v>
      </c>
      <c r="E7" s="1" t="s">
        <v>299</v>
      </c>
      <c r="F7" s="1">
        <v>2968</v>
      </c>
      <c r="G7" s="14">
        <v>3.15</v>
      </c>
      <c r="H7" s="14">
        <v>5.15</v>
      </c>
      <c r="I7" s="14">
        <v>0.11</v>
      </c>
      <c r="J7" s="14">
        <v>0.98</v>
      </c>
      <c r="K7" s="14">
        <f>J7-0.61</f>
        <v>0.37</v>
      </c>
      <c r="L7" s="14">
        <f>G7*0.0472</f>
        <v>0.14867999999999998</v>
      </c>
      <c r="M7" s="14">
        <v>0.25</v>
      </c>
      <c r="N7" s="14">
        <v>0.35</v>
      </c>
      <c r="O7" s="14">
        <f t="shared" ref="O7:O20" si="1">M7+N7</f>
        <v>0.6</v>
      </c>
      <c r="P7" s="14">
        <v>0.65</v>
      </c>
      <c r="Q7" s="14">
        <v>0.44</v>
      </c>
      <c r="R7" s="14">
        <v>0.19</v>
      </c>
      <c r="S7" s="14">
        <v>0.53</v>
      </c>
      <c r="T7" s="14">
        <v>1.1000000000000001</v>
      </c>
      <c r="U7" s="14">
        <v>0.51</v>
      </c>
      <c r="V7" s="14">
        <v>1.03</v>
      </c>
      <c r="W7" s="14">
        <v>0.64</v>
      </c>
      <c r="X7" s="2" t="s">
        <v>4</v>
      </c>
      <c r="Y7" s="1">
        <v>0.72</v>
      </c>
      <c r="Z7" s="14">
        <f>0.25*0.82</f>
        <v>0.20499999999999999</v>
      </c>
      <c r="AA7" s="14">
        <f>0.35*0.76</f>
        <v>0.26599999999999996</v>
      </c>
      <c r="AB7" s="14">
        <f t="shared" si="0"/>
        <v>0.47099999999999997</v>
      </c>
      <c r="AC7" s="14">
        <f>0.65*0.78</f>
        <v>0.50700000000000001</v>
      </c>
      <c r="AD7" s="14">
        <f>0.44*0.84</f>
        <v>0.36959999999999998</v>
      </c>
      <c r="AE7" s="14">
        <f>0.19*0.81</f>
        <v>0.15390000000000001</v>
      </c>
      <c r="AF7" s="14">
        <f>0.53*0.73</f>
        <v>0.38690000000000002</v>
      </c>
      <c r="AG7" s="14">
        <f>1.1*0.91</f>
        <v>1.0010000000000001</v>
      </c>
      <c r="AH7" s="14">
        <f>0.51*0.79</f>
        <v>0.40290000000000004</v>
      </c>
      <c r="AI7" s="14">
        <f>1.03*0.8</f>
        <v>0.82400000000000007</v>
      </c>
      <c r="AJ7" s="14">
        <f>0.64*0.84</f>
        <v>0.53759999999999997</v>
      </c>
      <c r="AK7" s="14">
        <f>0.72*0.81</f>
        <v>0.58320000000000005</v>
      </c>
      <c r="AL7" s="14">
        <v>0.04</v>
      </c>
      <c r="AM7" s="14">
        <v>0.41</v>
      </c>
      <c r="AN7" s="14">
        <v>0.05</v>
      </c>
      <c r="AO7" s="14">
        <v>1.06</v>
      </c>
      <c r="AP7" s="14">
        <v>0.17</v>
      </c>
      <c r="AQ7" s="14">
        <v>84</v>
      </c>
      <c r="AR7" s="14">
        <v>100</v>
      </c>
      <c r="AS7" s="14">
        <v>10</v>
      </c>
      <c r="AT7" s="14">
        <v>92</v>
      </c>
      <c r="AU7" s="14">
        <v>0.53</v>
      </c>
      <c r="AV7" s="2" t="s">
        <v>4</v>
      </c>
      <c r="AW7" s="1" t="s">
        <v>299</v>
      </c>
      <c r="AX7" s="1" t="s">
        <v>299</v>
      </c>
      <c r="AY7" s="1">
        <v>3</v>
      </c>
      <c r="AZ7" s="1" t="s">
        <v>299</v>
      </c>
      <c r="BA7" s="14">
        <v>20.100000000000001</v>
      </c>
      <c r="BB7" s="1" t="s">
        <v>299</v>
      </c>
      <c r="BC7" s="14">
        <v>16.5</v>
      </c>
      <c r="BD7" s="14">
        <v>1.8</v>
      </c>
      <c r="BE7" s="14">
        <v>72</v>
      </c>
      <c r="BF7" s="14">
        <v>15.6</v>
      </c>
      <c r="BG7" s="14">
        <v>9</v>
      </c>
      <c r="BH7" s="14">
        <v>0.33</v>
      </c>
      <c r="BI7" s="14">
        <v>0.76</v>
      </c>
      <c r="BJ7" s="1">
        <v>0</v>
      </c>
      <c r="BK7" s="1" t="s">
        <v>299</v>
      </c>
      <c r="BL7" s="1">
        <v>1187</v>
      </c>
    </row>
    <row r="8" spans="1:64" ht="16.5" customHeight="1" x14ac:dyDescent="0.25">
      <c r="A8" s="2" t="s">
        <v>5</v>
      </c>
      <c r="B8" s="14" t="s">
        <v>299</v>
      </c>
      <c r="C8" s="14" t="s">
        <v>299</v>
      </c>
      <c r="D8" s="1" t="s">
        <v>299</v>
      </c>
      <c r="E8" s="1" t="s">
        <v>299</v>
      </c>
      <c r="F8" s="1" t="s">
        <v>299</v>
      </c>
      <c r="G8" s="14" t="s">
        <v>299</v>
      </c>
      <c r="H8" s="14" t="s">
        <v>299</v>
      </c>
      <c r="I8" s="14" t="s">
        <v>299</v>
      </c>
      <c r="J8" s="14" t="s">
        <v>299</v>
      </c>
      <c r="K8" s="14" t="s">
        <v>299</v>
      </c>
      <c r="L8" s="14" t="s">
        <v>299</v>
      </c>
      <c r="M8" s="14" t="s">
        <v>299</v>
      </c>
      <c r="N8" s="14" t="s">
        <v>299</v>
      </c>
      <c r="O8" s="14" t="s">
        <v>299</v>
      </c>
      <c r="P8" s="14" t="s">
        <v>299</v>
      </c>
      <c r="Q8" s="14" t="s">
        <v>299</v>
      </c>
      <c r="R8" s="14" t="s">
        <v>299</v>
      </c>
      <c r="S8" s="14" t="s">
        <v>299</v>
      </c>
      <c r="T8" s="14" t="s">
        <v>299</v>
      </c>
      <c r="U8" s="14" t="s">
        <v>299</v>
      </c>
      <c r="V8" s="14" t="s">
        <v>299</v>
      </c>
      <c r="W8" s="14" t="s">
        <v>299</v>
      </c>
      <c r="X8" s="2" t="s">
        <v>5</v>
      </c>
      <c r="Y8" s="1" t="s">
        <v>299</v>
      </c>
      <c r="Z8" s="14" t="s">
        <v>299</v>
      </c>
      <c r="AA8" s="14" t="s">
        <v>299</v>
      </c>
      <c r="AB8" s="14" t="s">
        <v>299</v>
      </c>
      <c r="AC8" s="14" t="s">
        <v>299</v>
      </c>
      <c r="AD8" s="14" t="s">
        <v>299</v>
      </c>
      <c r="AE8" s="14" t="s">
        <v>299</v>
      </c>
      <c r="AF8" s="14" t="s">
        <v>299</v>
      </c>
      <c r="AG8" s="14" t="s">
        <v>299</v>
      </c>
      <c r="AH8" s="14" t="s">
        <v>299</v>
      </c>
      <c r="AI8" s="14" t="s">
        <v>299</v>
      </c>
      <c r="AJ8" s="14" t="s">
        <v>299</v>
      </c>
      <c r="AK8" s="14" t="s">
        <v>299</v>
      </c>
      <c r="AL8" s="14" t="s">
        <v>299</v>
      </c>
      <c r="AM8" s="14" t="s">
        <v>299</v>
      </c>
      <c r="AN8" s="14" t="s">
        <v>299</v>
      </c>
      <c r="AO8" s="14" t="s">
        <v>299</v>
      </c>
      <c r="AP8" s="14" t="s">
        <v>299</v>
      </c>
      <c r="AQ8" s="14" t="s">
        <v>299</v>
      </c>
      <c r="AR8" s="14" t="s">
        <v>299</v>
      </c>
      <c r="AS8" s="14" t="s">
        <v>299</v>
      </c>
      <c r="AT8" s="14" t="s">
        <v>299</v>
      </c>
      <c r="AU8" s="14" t="s">
        <v>299</v>
      </c>
      <c r="AV8" s="2" t="s">
        <v>5</v>
      </c>
      <c r="AW8" s="1" t="s">
        <v>299</v>
      </c>
      <c r="AX8" s="1" t="s">
        <v>299</v>
      </c>
      <c r="AY8" s="1" t="s">
        <v>299</v>
      </c>
      <c r="AZ8" s="1" t="s">
        <v>299</v>
      </c>
      <c r="BA8" s="14" t="s">
        <v>299</v>
      </c>
      <c r="BB8" s="1" t="s">
        <v>299</v>
      </c>
      <c r="BC8" s="14" t="s">
        <v>299</v>
      </c>
      <c r="BD8" s="14" t="s">
        <v>299</v>
      </c>
      <c r="BE8" s="14" t="s">
        <v>299</v>
      </c>
      <c r="BF8" s="14" t="s">
        <v>299</v>
      </c>
      <c r="BG8" s="14" t="s">
        <v>299</v>
      </c>
      <c r="BH8" s="14" t="s">
        <v>299</v>
      </c>
      <c r="BI8" s="14" t="s">
        <v>299</v>
      </c>
      <c r="BJ8" s="1" t="s">
        <v>299</v>
      </c>
      <c r="BK8" s="1" t="s">
        <v>299</v>
      </c>
      <c r="BL8" s="1" t="s">
        <v>299</v>
      </c>
    </row>
    <row r="9" spans="1:64" ht="16.5" customHeight="1" x14ac:dyDescent="0.25">
      <c r="A9" s="2" t="s">
        <v>6</v>
      </c>
      <c r="B9" s="14" t="s">
        <v>299</v>
      </c>
      <c r="C9" s="14" t="s">
        <v>299</v>
      </c>
      <c r="D9" s="1" t="s">
        <v>299</v>
      </c>
      <c r="E9" s="1" t="s">
        <v>299</v>
      </c>
      <c r="F9" s="1" t="s">
        <v>299</v>
      </c>
      <c r="G9" s="14" t="s">
        <v>299</v>
      </c>
      <c r="H9" s="14" t="s">
        <v>299</v>
      </c>
      <c r="I9" s="14" t="s">
        <v>299</v>
      </c>
      <c r="J9" s="14" t="s">
        <v>299</v>
      </c>
      <c r="K9" s="14" t="s">
        <v>299</v>
      </c>
      <c r="L9" s="14" t="s">
        <v>299</v>
      </c>
      <c r="M9" s="14" t="s">
        <v>299</v>
      </c>
      <c r="N9" s="14" t="s">
        <v>299</v>
      </c>
      <c r="O9" s="14" t="s">
        <v>299</v>
      </c>
      <c r="P9" s="14" t="s">
        <v>299</v>
      </c>
      <c r="Q9" s="14" t="s">
        <v>299</v>
      </c>
      <c r="R9" s="14" t="s">
        <v>299</v>
      </c>
      <c r="S9" s="14" t="s">
        <v>299</v>
      </c>
      <c r="T9" s="14" t="s">
        <v>299</v>
      </c>
      <c r="U9" s="14" t="s">
        <v>299</v>
      </c>
      <c r="V9" s="14" t="s">
        <v>299</v>
      </c>
      <c r="W9" s="14" t="s">
        <v>299</v>
      </c>
      <c r="X9" s="2" t="s">
        <v>6</v>
      </c>
      <c r="Y9" s="1" t="s">
        <v>299</v>
      </c>
      <c r="Z9" s="14" t="s">
        <v>299</v>
      </c>
      <c r="AA9" s="14" t="s">
        <v>299</v>
      </c>
      <c r="AB9" s="14" t="s">
        <v>299</v>
      </c>
      <c r="AC9" s="14" t="s">
        <v>299</v>
      </c>
      <c r="AD9" s="14" t="s">
        <v>299</v>
      </c>
      <c r="AE9" s="14" t="s">
        <v>299</v>
      </c>
      <c r="AF9" s="14" t="s">
        <v>299</v>
      </c>
      <c r="AG9" s="14" t="s">
        <v>299</v>
      </c>
      <c r="AH9" s="14" t="s">
        <v>299</v>
      </c>
      <c r="AI9" s="14" t="s">
        <v>299</v>
      </c>
      <c r="AJ9" s="14" t="s">
        <v>299</v>
      </c>
      <c r="AK9" s="14" t="s">
        <v>299</v>
      </c>
      <c r="AL9" s="14" t="s">
        <v>299</v>
      </c>
      <c r="AM9" s="14" t="s">
        <v>299</v>
      </c>
      <c r="AN9" s="14" t="s">
        <v>299</v>
      </c>
      <c r="AO9" s="14" t="s">
        <v>299</v>
      </c>
      <c r="AP9" s="14" t="s">
        <v>299</v>
      </c>
      <c r="AQ9" s="14" t="s">
        <v>299</v>
      </c>
      <c r="AR9" s="14" t="s">
        <v>299</v>
      </c>
      <c r="AS9" s="14" t="s">
        <v>299</v>
      </c>
      <c r="AT9" s="14" t="s">
        <v>299</v>
      </c>
      <c r="AU9" s="14" t="s">
        <v>299</v>
      </c>
      <c r="AV9" s="2" t="s">
        <v>6</v>
      </c>
      <c r="AW9" s="1" t="s">
        <v>299</v>
      </c>
      <c r="AX9" s="1" t="s">
        <v>299</v>
      </c>
      <c r="AY9" s="1" t="s">
        <v>299</v>
      </c>
      <c r="AZ9" s="1" t="s">
        <v>299</v>
      </c>
      <c r="BA9" s="14" t="s">
        <v>299</v>
      </c>
      <c r="BB9" s="1" t="s">
        <v>299</v>
      </c>
      <c r="BC9" s="14" t="s">
        <v>299</v>
      </c>
      <c r="BD9" s="14" t="s">
        <v>299</v>
      </c>
      <c r="BE9" s="14" t="s">
        <v>299</v>
      </c>
      <c r="BF9" s="14" t="s">
        <v>299</v>
      </c>
      <c r="BG9" s="14" t="s">
        <v>299</v>
      </c>
      <c r="BH9" s="14" t="s">
        <v>299</v>
      </c>
      <c r="BI9" s="14" t="s">
        <v>299</v>
      </c>
      <c r="BJ9" s="1" t="s">
        <v>299</v>
      </c>
      <c r="BK9" s="1" t="s">
        <v>299</v>
      </c>
      <c r="BL9" s="1" t="s">
        <v>299</v>
      </c>
    </row>
    <row r="10" spans="1:64" ht="16.5" customHeight="1" x14ac:dyDescent="0.25">
      <c r="A10" s="2" t="s">
        <v>7</v>
      </c>
      <c r="B10" s="14" t="s">
        <v>299</v>
      </c>
      <c r="C10" s="14" t="s">
        <v>299</v>
      </c>
      <c r="D10" s="1" t="s">
        <v>299</v>
      </c>
      <c r="E10" s="1" t="s">
        <v>299</v>
      </c>
      <c r="F10" s="1" t="s">
        <v>299</v>
      </c>
      <c r="G10" s="14" t="s">
        <v>299</v>
      </c>
      <c r="H10" s="14" t="s">
        <v>299</v>
      </c>
      <c r="I10" s="14" t="s">
        <v>299</v>
      </c>
      <c r="J10" s="14" t="s">
        <v>299</v>
      </c>
      <c r="K10" s="14" t="s">
        <v>299</v>
      </c>
      <c r="L10" s="14" t="s">
        <v>299</v>
      </c>
      <c r="M10" s="14" t="s">
        <v>299</v>
      </c>
      <c r="N10" s="14" t="s">
        <v>299</v>
      </c>
      <c r="O10" s="14" t="s">
        <v>299</v>
      </c>
      <c r="P10" s="14" t="s">
        <v>299</v>
      </c>
      <c r="Q10" s="14" t="s">
        <v>299</v>
      </c>
      <c r="R10" s="14" t="s">
        <v>299</v>
      </c>
      <c r="S10" s="14" t="s">
        <v>299</v>
      </c>
      <c r="T10" s="14" t="s">
        <v>299</v>
      </c>
      <c r="U10" s="14" t="s">
        <v>299</v>
      </c>
      <c r="V10" s="14" t="s">
        <v>299</v>
      </c>
      <c r="W10" s="14" t="s">
        <v>299</v>
      </c>
      <c r="X10" s="2" t="s">
        <v>7</v>
      </c>
      <c r="Y10" s="1" t="s">
        <v>299</v>
      </c>
      <c r="Z10" s="14" t="s">
        <v>299</v>
      </c>
      <c r="AA10" s="14" t="s">
        <v>299</v>
      </c>
      <c r="AB10" s="14" t="s">
        <v>299</v>
      </c>
      <c r="AC10" s="14" t="s">
        <v>299</v>
      </c>
      <c r="AD10" s="14" t="s">
        <v>299</v>
      </c>
      <c r="AE10" s="14" t="s">
        <v>299</v>
      </c>
      <c r="AF10" s="14" t="s">
        <v>299</v>
      </c>
      <c r="AG10" s="14" t="s">
        <v>299</v>
      </c>
      <c r="AH10" s="14" t="s">
        <v>299</v>
      </c>
      <c r="AI10" s="14" t="s">
        <v>299</v>
      </c>
      <c r="AJ10" s="14" t="s">
        <v>299</v>
      </c>
      <c r="AK10" s="14" t="s">
        <v>299</v>
      </c>
      <c r="AL10" s="14" t="s">
        <v>299</v>
      </c>
      <c r="AM10" s="14" t="s">
        <v>299</v>
      </c>
      <c r="AN10" s="14" t="s">
        <v>299</v>
      </c>
      <c r="AO10" s="14" t="s">
        <v>299</v>
      </c>
      <c r="AP10" s="14" t="s">
        <v>299</v>
      </c>
      <c r="AQ10" s="14" t="s">
        <v>299</v>
      </c>
      <c r="AR10" s="14" t="s">
        <v>299</v>
      </c>
      <c r="AS10" s="14" t="s">
        <v>299</v>
      </c>
      <c r="AT10" s="14" t="s">
        <v>299</v>
      </c>
      <c r="AU10" s="14" t="s">
        <v>299</v>
      </c>
      <c r="AV10" s="2" t="s">
        <v>7</v>
      </c>
      <c r="AW10" s="1" t="s">
        <v>299</v>
      </c>
      <c r="AX10" s="1" t="s">
        <v>299</v>
      </c>
      <c r="AY10" s="1" t="s">
        <v>299</v>
      </c>
      <c r="AZ10" s="1" t="s">
        <v>299</v>
      </c>
      <c r="BA10" s="14" t="s">
        <v>299</v>
      </c>
      <c r="BB10" s="1" t="s">
        <v>299</v>
      </c>
      <c r="BC10" s="14" t="s">
        <v>299</v>
      </c>
      <c r="BD10" s="14" t="s">
        <v>299</v>
      </c>
      <c r="BE10" s="14" t="s">
        <v>299</v>
      </c>
      <c r="BF10" s="14" t="s">
        <v>299</v>
      </c>
      <c r="BG10" s="14" t="s">
        <v>299</v>
      </c>
      <c r="BH10" s="14" t="s">
        <v>299</v>
      </c>
      <c r="BI10" s="14" t="s">
        <v>299</v>
      </c>
      <c r="BJ10" s="1" t="s">
        <v>299</v>
      </c>
      <c r="BK10" s="1" t="s">
        <v>299</v>
      </c>
      <c r="BL10" s="1" t="s">
        <v>299</v>
      </c>
    </row>
    <row r="11" spans="1:64" x14ac:dyDescent="0.25">
      <c r="A11" s="2" t="s">
        <v>8</v>
      </c>
      <c r="B11" s="14" t="s">
        <v>299</v>
      </c>
      <c r="C11" s="14" t="s">
        <v>299</v>
      </c>
      <c r="D11" s="14" t="s">
        <v>299</v>
      </c>
      <c r="E11" s="1" t="s">
        <v>299</v>
      </c>
      <c r="F11" s="1" t="s">
        <v>299</v>
      </c>
      <c r="G11" s="14" t="s">
        <v>299</v>
      </c>
      <c r="H11" s="14" t="s">
        <v>299</v>
      </c>
      <c r="I11" s="14" t="s">
        <v>299</v>
      </c>
      <c r="J11" s="14" t="s">
        <v>299</v>
      </c>
      <c r="K11" s="14" t="s">
        <v>299</v>
      </c>
      <c r="L11" s="14" t="s">
        <v>299</v>
      </c>
      <c r="M11" s="14" t="s">
        <v>299</v>
      </c>
      <c r="N11" s="14" t="s">
        <v>299</v>
      </c>
      <c r="O11" s="14" t="s">
        <v>299</v>
      </c>
      <c r="P11" s="14" t="s">
        <v>299</v>
      </c>
      <c r="Q11" s="14" t="s">
        <v>299</v>
      </c>
      <c r="R11" s="14" t="s">
        <v>299</v>
      </c>
      <c r="S11" s="14" t="s">
        <v>299</v>
      </c>
      <c r="T11" s="14" t="s">
        <v>299</v>
      </c>
      <c r="U11" s="14" t="s">
        <v>299</v>
      </c>
      <c r="V11" s="14" t="s">
        <v>299</v>
      </c>
      <c r="W11" s="14" t="s">
        <v>299</v>
      </c>
      <c r="X11" s="2" t="s">
        <v>8</v>
      </c>
      <c r="Y11" s="1" t="s">
        <v>299</v>
      </c>
      <c r="Z11" s="14" t="s">
        <v>299</v>
      </c>
      <c r="AA11" s="14" t="s">
        <v>299</v>
      </c>
      <c r="AB11" s="14" t="s">
        <v>299</v>
      </c>
      <c r="AC11" s="14" t="s">
        <v>299</v>
      </c>
      <c r="AD11" s="14" t="s">
        <v>299</v>
      </c>
      <c r="AE11" s="14" t="s">
        <v>299</v>
      </c>
      <c r="AF11" s="14" t="s">
        <v>299</v>
      </c>
      <c r="AG11" s="14" t="s">
        <v>299</v>
      </c>
      <c r="AH11" s="14" t="s">
        <v>299</v>
      </c>
      <c r="AI11" s="14" t="s">
        <v>299</v>
      </c>
      <c r="AJ11" s="14" t="s">
        <v>299</v>
      </c>
      <c r="AK11" s="14" t="s">
        <v>299</v>
      </c>
      <c r="AL11" s="14" t="s">
        <v>299</v>
      </c>
      <c r="AM11" s="14" t="s">
        <v>299</v>
      </c>
      <c r="AN11" s="14" t="s">
        <v>299</v>
      </c>
      <c r="AO11" s="14" t="s">
        <v>299</v>
      </c>
      <c r="AP11" s="14" t="s">
        <v>299</v>
      </c>
      <c r="AQ11" s="14" t="s">
        <v>299</v>
      </c>
      <c r="AR11" s="14" t="s">
        <v>299</v>
      </c>
      <c r="AS11" s="14" t="s">
        <v>299</v>
      </c>
      <c r="AT11" s="14" t="s">
        <v>299</v>
      </c>
      <c r="AU11" s="14" t="s">
        <v>299</v>
      </c>
      <c r="AV11" s="2" t="s">
        <v>8</v>
      </c>
      <c r="AW11" s="1" t="s">
        <v>299</v>
      </c>
      <c r="AX11" s="1" t="s">
        <v>299</v>
      </c>
      <c r="AY11" s="1" t="s">
        <v>299</v>
      </c>
      <c r="AZ11" s="1" t="s">
        <v>299</v>
      </c>
      <c r="BA11" s="14" t="s">
        <v>299</v>
      </c>
      <c r="BB11" s="1" t="s">
        <v>299</v>
      </c>
      <c r="BC11" s="14" t="s">
        <v>299</v>
      </c>
      <c r="BD11" s="14" t="s">
        <v>299</v>
      </c>
      <c r="BE11" s="14" t="s">
        <v>299</v>
      </c>
      <c r="BF11" s="14" t="s">
        <v>299</v>
      </c>
      <c r="BG11" s="14" t="s">
        <v>299</v>
      </c>
      <c r="BH11" s="14" t="s">
        <v>299</v>
      </c>
      <c r="BI11" s="14" t="s">
        <v>299</v>
      </c>
      <c r="BJ11" s="1" t="s">
        <v>299</v>
      </c>
      <c r="BK11" s="1" t="s">
        <v>299</v>
      </c>
      <c r="BL11" s="1" t="s">
        <v>299</v>
      </c>
    </row>
    <row r="12" spans="1:64" ht="16.5" customHeight="1" x14ac:dyDescent="0.25">
      <c r="A12" s="2" t="s">
        <v>9</v>
      </c>
      <c r="B12" s="14">
        <v>88.79</v>
      </c>
      <c r="C12" s="14">
        <v>43.9</v>
      </c>
      <c r="D12" s="14">
        <f>C12*0.85</f>
        <v>37.314999999999998</v>
      </c>
      <c r="E12" s="1" t="s">
        <v>299</v>
      </c>
      <c r="F12" s="1">
        <v>3382</v>
      </c>
      <c r="G12" s="14">
        <v>1.24</v>
      </c>
      <c r="H12" s="14">
        <v>6.6</v>
      </c>
      <c r="I12" s="14">
        <v>12</v>
      </c>
      <c r="J12" s="14">
        <v>0.64</v>
      </c>
      <c r="K12" s="14">
        <f>J12-0.36</f>
        <v>0.28000000000000003</v>
      </c>
      <c r="L12" s="14">
        <f>G12*0.0516</f>
        <v>6.3983999999999999E-2</v>
      </c>
      <c r="M12" s="14">
        <v>0.6</v>
      </c>
      <c r="N12" s="14">
        <v>0.68</v>
      </c>
      <c r="O12" s="14">
        <f t="shared" si="1"/>
        <v>1.28</v>
      </c>
      <c r="P12" s="14">
        <v>2.76</v>
      </c>
      <c r="Q12" s="14">
        <v>1.26</v>
      </c>
      <c r="R12" s="14">
        <v>0.59</v>
      </c>
      <c r="S12" s="14">
        <v>1.76</v>
      </c>
      <c r="T12" s="14">
        <v>3.17</v>
      </c>
      <c r="U12" s="14">
        <v>1.96</v>
      </c>
      <c r="V12" s="14">
        <v>3.43</v>
      </c>
      <c r="W12" s="14">
        <v>2.2599999999999998</v>
      </c>
      <c r="X12" s="2" t="s">
        <v>9</v>
      </c>
      <c r="Y12" s="1">
        <v>1.93</v>
      </c>
      <c r="Z12" s="14">
        <f>0.6*0.89</f>
        <v>0.53400000000000003</v>
      </c>
      <c r="AA12" s="14">
        <f>0.68*0.84</f>
        <v>0.57120000000000004</v>
      </c>
      <c r="AB12" s="14">
        <f t="shared" si="0"/>
        <v>1.1052</v>
      </c>
      <c r="AC12" s="14">
        <f>2.76*0.88</f>
        <v>2.4287999999999998</v>
      </c>
      <c r="AD12" s="14">
        <f>1.26*0.86</f>
        <v>1.0835999999999999</v>
      </c>
      <c r="AE12" s="14">
        <f>0.59*0.9</f>
        <v>0.53100000000000003</v>
      </c>
      <c r="AF12" s="14">
        <f>1.76*0.83</f>
        <v>1.4607999999999999</v>
      </c>
      <c r="AG12" s="14">
        <f>3.17*0.92</f>
        <v>2.9163999999999999</v>
      </c>
      <c r="AH12" s="14">
        <f>1.96*0.88</f>
        <v>1.7247999999999999</v>
      </c>
      <c r="AI12" s="14">
        <f>3.43*0.86</f>
        <v>2.9498000000000002</v>
      </c>
      <c r="AJ12" s="14">
        <f>2.26*0.87</f>
        <v>1.9661999999999997</v>
      </c>
      <c r="AK12" s="14">
        <f>1.93*0.84</f>
        <v>1.6212</v>
      </c>
      <c r="AL12" s="14">
        <v>0.05</v>
      </c>
      <c r="AM12" s="14">
        <v>0.28999999999999998</v>
      </c>
      <c r="AN12" s="14">
        <v>0.01</v>
      </c>
      <c r="AO12" s="14">
        <v>1.96</v>
      </c>
      <c r="AP12" s="14">
        <v>0.39</v>
      </c>
      <c r="AQ12" s="14">
        <v>235</v>
      </c>
      <c r="AR12" s="14">
        <v>40.64</v>
      </c>
      <c r="AS12" s="14">
        <v>17.38</v>
      </c>
      <c r="AT12" s="14">
        <v>50</v>
      </c>
      <c r="AU12" s="14">
        <v>0.32</v>
      </c>
      <c r="AV12" s="2" t="s">
        <v>9</v>
      </c>
      <c r="AW12" s="1" t="s">
        <v>299</v>
      </c>
      <c r="AX12" s="1" t="s">
        <v>299</v>
      </c>
      <c r="AY12" s="1">
        <v>0.2</v>
      </c>
      <c r="AZ12" s="1" t="s">
        <v>299</v>
      </c>
      <c r="BA12" s="14">
        <v>2.2999999999999998</v>
      </c>
      <c r="BB12" s="1" t="s">
        <v>299</v>
      </c>
      <c r="BC12" s="14">
        <v>4.5</v>
      </c>
      <c r="BD12" s="14">
        <v>2.9</v>
      </c>
      <c r="BE12" s="14">
        <v>34</v>
      </c>
      <c r="BF12" s="14">
        <v>16</v>
      </c>
      <c r="BG12" s="14">
        <v>6</v>
      </c>
      <c r="BH12" s="14">
        <v>0.27</v>
      </c>
      <c r="BI12" s="14">
        <v>1.37</v>
      </c>
      <c r="BJ12" s="1" t="s">
        <v>299</v>
      </c>
      <c r="BK12" s="1" t="s">
        <v>299</v>
      </c>
      <c r="BL12" s="1">
        <v>2794</v>
      </c>
    </row>
    <row r="13" spans="1:64" ht="16.5" customHeight="1" x14ac:dyDescent="0.25">
      <c r="A13" s="2" t="s">
        <v>10</v>
      </c>
      <c r="B13" s="14">
        <v>89.98</v>
      </c>
      <c r="C13" s="14">
        <v>47.73</v>
      </c>
      <c r="D13" s="14">
        <f>C13*0.87</f>
        <v>41.525099999999995</v>
      </c>
      <c r="E13" s="1" t="s">
        <v>299</v>
      </c>
      <c r="F13" s="1">
        <v>3294</v>
      </c>
      <c r="G13" s="14">
        <v>1.52</v>
      </c>
      <c r="H13" s="14">
        <v>3.89</v>
      </c>
      <c r="I13" s="14">
        <v>0.33</v>
      </c>
      <c r="J13" s="14">
        <v>0.71</v>
      </c>
      <c r="K13" s="14">
        <f>J13-0.38</f>
        <v>0.32999999999999996</v>
      </c>
      <c r="L13" s="14">
        <f>G13*0.0555</f>
        <v>8.4360000000000004E-2</v>
      </c>
      <c r="M13" s="14">
        <v>0.66</v>
      </c>
      <c r="N13" s="14">
        <v>0.7</v>
      </c>
      <c r="O13" s="14">
        <f t="shared" si="1"/>
        <v>1.3599999999999999</v>
      </c>
      <c r="P13" s="14">
        <v>2.96</v>
      </c>
      <c r="Q13" s="14">
        <v>1.28</v>
      </c>
      <c r="R13" s="14">
        <v>0.66</v>
      </c>
      <c r="S13" s="14">
        <v>1.86</v>
      </c>
      <c r="T13" s="14">
        <v>3.45</v>
      </c>
      <c r="U13" s="14">
        <v>2.14</v>
      </c>
      <c r="V13" s="14">
        <v>3.62</v>
      </c>
      <c r="W13" s="14">
        <v>2.4</v>
      </c>
      <c r="X13" s="2" t="s">
        <v>10</v>
      </c>
      <c r="Y13" s="1">
        <v>2.23</v>
      </c>
      <c r="Z13" s="14">
        <v>0.59400000000000008</v>
      </c>
      <c r="AA13" s="14">
        <v>0.58799999999999997</v>
      </c>
      <c r="AB13" s="14">
        <f t="shared" si="0"/>
        <v>1.1819999999999999</v>
      </c>
      <c r="AC13" s="14">
        <v>2.6343999999999999</v>
      </c>
      <c r="AD13" s="14">
        <v>1.1520000000000001</v>
      </c>
      <c r="AE13" s="14">
        <v>0.60060000000000002</v>
      </c>
      <c r="AF13" s="14">
        <v>1.581</v>
      </c>
      <c r="AG13" s="14">
        <v>3.2429999999999999</v>
      </c>
      <c r="AH13" s="14">
        <v>1.9046000000000001</v>
      </c>
      <c r="AI13" s="14">
        <v>3.1856</v>
      </c>
      <c r="AJ13" s="14">
        <v>2.1120000000000001</v>
      </c>
      <c r="AK13" s="14">
        <v>1.9400999999999999</v>
      </c>
      <c r="AL13" s="14">
        <v>0.49</v>
      </c>
      <c r="AM13" s="14">
        <v>0.27</v>
      </c>
      <c r="AN13" s="14">
        <v>0.08</v>
      </c>
      <c r="AO13" s="14">
        <v>2.2400000000000002</v>
      </c>
      <c r="AP13" s="14">
        <v>0.4</v>
      </c>
      <c r="AQ13" s="14">
        <v>98.19</v>
      </c>
      <c r="AR13" s="14">
        <v>35.49</v>
      </c>
      <c r="AS13" s="14">
        <v>15.13</v>
      </c>
      <c r="AT13" s="14">
        <v>48.81</v>
      </c>
      <c r="AU13" s="14">
        <v>0.27</v>
      </c>
      <c r="AV13" s="2" t="s">
        <v>10</v>
      </c>
      <c r="AW13" s="1" t="s">
        <v>299</v>
      </c>
      <c r="AX13" s="1" t="s">
        <v>299</v>
      </c>
      <c r="AY13" s="1">
        <v>0.2</v>
      </c>
      <c r="AZ13" s="1" t="s">
        <v>299</v>
      </c>
      <c r="BA13" s="14">
        <v>7.0000000000000007E-2</v>
      </c>
      <c r="BB13" s="1" t="s">
        <v>299</v>
      </c>
      <c r="BC13" s="14">
        <v>3.2</v>
      </c>
      <c r="BD13" s="14">
        <v>3.1</v>
      </c>
      <c r="BE13" s="14">
        <v>22</v>
      </c>
      <c r="BF13" s="14">
        <v>15</v>
      </c>
      <c r="BG13" s="14">
        <v>6.4</v>
      </c>
      <c r="BH13" s="14">
        <v>0.26</v>
      </c>
      <c r="BI13" s="14">
        <v>1.37</v>
      </c>
      <c r="BJ13" s="1">
        <v>0</v>
      </c>
      <c r="BK13" s="1" t="s">
        <v>299</v>
      </c>
      <c r="BL13" s="1">
        <v>2731</v>
      </c>
    </row>
    <row r="14" spans="1:64" ht="16.5" customHeight="1" x14ac:dyDescent="0.25">
      <c r="A14" s="2" t="s">
        <v>11</v>
      </c>
      <c r="B14" s="14">
        <v>92.36</v>
      </c>
      <c r="C14" s="14">
        <v>37.56</v>
      </c>
      <c r="D14" s="14">
        <f>C14*0.79</f>
        <v>29.672400000000003</v>
      </c>
      <c r="E14" s="1" t="s">
        <v>299</v>
      </c>
      <c r="F14" s="1">
        <v>3938</v>
      </c>
      <c r="G14" s="14">
        <v>20.18</v>
      </c>
      <c r="H14" s="14">
        <v>4.07</v>
      </c>
      <c r="I14" s="14">
        <v>0.31</v>
      </c>
      <c r="J14" s="14">
        <v>0.53</v>
      </c>
      <c r="K14" s="14">
        <v>0.35510000000000003</v>
      </c>
      <c r="L14" s="14">
        <f>G14*0.0667</f>
        <v>1.3460059999999998</v>
      </c>
      <c r="M14" s="14">
        <v>0.55000000000000004</v>
      </c>
      <c r="N14" s="14">
        <v>0.59</v>
      </c>
      <c r="O14" s="14">
        <f t="shared" si="1"/>
        <v>1.1400000000000001</v>
      </c>
      <c r="P14" s="14">
        <v>2.23</v>
      </c>
      <c r="Q14" s="14">
        <v>0.88</v>
      </c>
      <c r="R14" s="14">
        <v>0.49</v>
      </c>
      <c r="S14" s="14">
        <v>1.42</v>
      </c>
      <c r="T14" s="14">
        <v>2.4500000000000002</v>
      </c>
      <c r="U14" s="14">
        <v>1.6</v>
      </c>
      <c r="V14" s="14">
        <v>2.67</v>
      </c>
      <c r="W14" s="14">
        <v>1.74</v>
      </c>
      <c r="X14" s="2" t="s">
        <v>11</v>
      </c>
      <c r="Y14" s="1">
        <v>1.73</v>
      </c>
      <c r="Z14" s="14">
        <v>0.44000000000000006</v>
      </c>
      <c r="AA14" s="14">
        <v>0.44839999999999997</v>
      </c>
      <c r="AB14" s="14">
        <f t="shared" si="0"/>
        <v>0.88840000000000008</v>
      </c>
      <c r="AC14" s="14">
        <v>1.8063</v>
      </c>
      <c r="AD14" s="14">
        <v>0.7128000000000001</v>
      </c>
      <c r="AE14" s="14">
        <v>0.40179999999999999</v>
      </c>
      <c r="AF14" s="14">
        <v>1.0791999999999999</v>
      </c>
      <c r="AG14" s="14">
        <v>2.1315</v>
      </c>
      <c r="AH14" s="14">
        <v>1.2480000000000002</v>
      </c>
      <c r="AI14" s="14">
        <v>2.0826000000000002</v>
      </c>
      <c r="AJ14" s="14">
        <v>1.3746</v>
      </c>
      <c r="AK14" s="14">
        <v>1.3321000000000001</v>
      </c>
      <c r="AL14" s="14">
        <v>0.03</v>
      </c>
      <c r="AM14" s="14">
        <v>0.28000000000000003</v>
      </c>
      <c r="AN14" s="14">
        <v>0.03</v>
      </c>
      <c r="AO14" s="14">
        <v>1.64</v>
      </c>
      <c r="AP14" s="14">
        <v>0.3</v>
      </c>
      <c r="AQ14" s="14">
        <v>80</v>
      </c>
      <c r="AR14" s="14">
        <v>30</v>
      </c>
      <c r="AS14" s="14">
        <v>16</v>
      </c>
      <c r="AT14" s="14">
        <v>39</v>
      </c>
      <c r="AU14" s="14">
        <v>0.11</v>
      </c>
      <c r="AV14" s="2" t="s">
        <v>11</v>
      </c>
      <c r="AW14" s="1" t="s">
        <v>299</v>
      </c>
      <c r="AX14" s="1" t="s">
        <v>299</v>
      </c>
      <c r="AY14" s="1">
        <v>1.9</v>
      </c>
      <c r="AZ14" s="1" t="s">
        <v>299</v>
      </c>
      <c r="BA14" s="14">
        <v>18.100000000000001</v>
      </c>
      <c r="BB14" s="1" t="s">
        <v>299</v>
      </c>
      <c r="BC14" s="14">
        <v>11</v>
      </c>
      <c r="BD14" s="14">
        <v>2.6</v>
      </c>
      <c r="BE14" s="14">
        <v>22</v>
      </c>
      <c r="BF14" s="14">
        <v>15</v>
      </c>
      <c r="BG14" s="14">
        <v>10.8</v>
      </c>
      <c r="BH14" s="14">
        <v>0.24</v>
      </c>
      <c r="BI14" s="14">
        <v>3.6</v>
      </c>
      <c r="BJ14" s="1">
        <v>0</v>
      </c>
      <c r="BK14" s="1" t="s">
        <v>299</v>
      </c>
      <c r="BL14" s="1">
        <v>2307</v>
      </c>
    </row>
    <row r="15" spans="1:64" ht="16.5" customHeight="1" x14ac:dyDescent="0.25">
      <c r="A15" s="2" t="s">
        <v>191</v>
      </c>
      <c r="B15" s="14">
        <v>89.35</v>
      </c>
      <c r="C15" s="14">
        <v>27.36</v>
      </c>
      <c r="D15" s="14">
        <f>C15*0.74</f>
        <v>20.246399999999998</v>
      </c>
      <c r="E15" s="1" t="s">
        <v>299</v>
      </c>
      <c r="F15" s="1">
        <v>3396</v>
      </c>
      <c r="G15" s="14">
        <v>8.9</v>
      </c>
      <c r="H15" s="14">
        <v>8.92</v>
      </c>
      <c r="I15" s="14">
        <v>0.08</v>
      </c>
      <c r="J15" s="14">
        <v>0.6</v>
      </c>
      <c r="K15" s="14">
        <v>0.6</v>
      </c>
      <c r="L15" s="14" t="s">
        <v>299</v>
      </c>
      <c r="M15" s="14">
        <v>0.56999999999999995</v>
      </c>
      <c r="N15" s="14">
        <v>0.44</v>
      </c>
      <c r="O15" s="14">
        <f t="shared" si="1"/>
        <v>1.01</v>
      </c>
      <c r="P15" s="14">
        <v>0.9</v>
      </c>
      <c r="Q15" s="14">
        <v>0.74</v>
      </c>
      <c r="R15" s="14">
        <v>0.2</v>
      </c>
      <c r="S15" s="14">
        <v>0.99</v>
      </c>
      <c r="T15" s="14">
        <v>1.23</v>
      </c>
      <c r="U15" s="14">
        <v>1.06</v>
      </c>
      <c r="V15" s="14">
        <v>3.25</v>
      </c>
      <c r="W15" s="14">
        <v>1.37</v>
      </c>
      <c r="X15" s="2" t="s">
        <v>191</v>
      </c>
      <c r="Y15" s="1">
        <v>1.39</v>
      </c>
      <c r="Z15" s="14">
        <v>0.46739999999999993</v>
      </c>
      <c r="AA15" s="14">
        <v>0.32119999999999999</v>
      </c>
      <c r="AB15" s="14">
        <f t="shared" si="0"/>
        <v>0.78859999999999997</v>
      </c>
      <c r="AC15" s="14">
        <v>0.54900000000000004</v>
      </c>
      <c r="AD15" s="14">
        <v>0.57720000000000005</v>
      </c>
      <c r="AE15" s="14">
        <v>0.14199999999999999</v>
      </c>
      <c r="AF15" s="14">
        <v>0.70289999999999997</v>
      </c>
      <c r="AG15" s="14">
        <v>0.99630000000000007</v>
      </c>
      <c r="AH15" s="14">
        <v>0.80560000000000009</v>
      </c>
      <c r="AI15" s="14">
        <v>2.73</v>
      </c>
      <c r="AJ15" s="14">
        <v>1.1097000000000001</v>
      </c>
      <c r="AK15" s="14">
        <v>1.0425</v>
      </c>
      <c r="AL15" s="14">
        <v>0.2</v>
      </c>
      <c r="AM15" s="14">
        <v>0.49</v>
      </c>
      <c r="AN15" s="14">
        <v>0.3</v>
      </c>
      <c r="AO15" s="14">
        <v>0.88</v>
      </c>
      <c r="AP15" s="14">
        <v>0.48</v>
      </c>
      <c r="AQ15" s="14">
        <v>147</v>
      </c>
      <c r="AR15" s="14">
        <v>16.510000000000002</v>
      </c>
      <c r="AS15" s="14">
        <v>6.04</v>
      </c>
      <c r="AT15" s="14">
        <v>51.62</v>
      </c>
      <c r="AU15" s="14">
        <v>0.39</v>
      </c>
      <c r="AV15" s="2" t="s">
        <v>191</v>
      </c>
      <c r="AW15" s="1" t="s">
        <v>299</v>
      </c>
      <c r="AX15" s="1" t="s">
        <v>299</v>
      </c>
      <c r="AY15" s="1">
        <v>3.5</v>
      </c>
      <c r="AZ15" s="1" t="s">
        <v>299</v>
      </c>
      <c r="BA15" s="14" t="s">
        <v>299</v>
      </c>
      <c r="BB15" s="1" t="s">
        <v>299</v>
      </c>
      <c r="BC15" s="14">
        <v>2.9</v>
      </c>
      <c r="BD15" s="14">
        <v>8.6</v>
      </c>
      <c r="BE15" s="14">
        <v>75</v>
      </c>
      <c r="BF15" s="14">
        <v>14</v>
      </c>
      <c r="BG15" s="14">
        <v>8</v>
      </c>
      <c r="BH15" s="14">
        <v>0.78</v>
      </c>
      <c r="BI15" s="14">
        <v>0.9</v>
      </c>
      <c r="BJ15" s="1">
        <v>0</v>
      </c>
      <c r="BK15" s="1" t="s">
        <v>299</v>
      </c>
      <c r="BL15" s="1">
        <v>2637</v>
      </c>
    </row>
    <row r="16" spans="1:64" ht="16.5" customHeight="1" x14ac:dyDescent="0.25">
      <c r="A16" s="2" t="s">
        <v>12</v>
      </c>
      <c r="B16" s="14">
        <v>90.04</v>
      </c>
      <c r="C16" s="14">
        <v>58.25</v>
      </c>
      <c r="D16" s="14">
        <f>C16*0.75</f>
        <v>43.6875</v>
      </c>
      <c r="E16" s="1" t="s">
        <v>299</v>
      </c>
      <c r="F16" s="1">
        <v>3737</v>
      </c>
      <c r="G16" s="14">
        <v>4.74</v>
      </c>
      <c r="H16" s="14">
        <v>0.7</v>
      </c>
      <c r="I16" s="14">
        <v>0.03</v>
      </c>
      <c r="J16" s="14" t="s">
        <v>299</v>
      </c>
      <c r="K16" s="14">
        <v>0.49</v>
      </c>
      <c r="L16" s="14">
        <f>G16*0.008</f>
        <v>3.7920000000000002E-2</v>
      </c>
      <c r="M16" s="14">
        <v>1.21</v>
      </c>
      <c r="N16" s="14">
        <v>1.01</v>
      </c>
      <c r="O16" s="14">
        <f t="shared" si="1"/>
        <v>2.2199999999999998</v>
      </c>
      <c r="P16" s="14">
        <v>0.93</v>
      </c>
      <c r="Q16" s="14">
        <v>1.32</v>
      </c>
      <c r="R16" s="14">
        <v>0.27</v>
      </c>
      <c r="S16" s="14">
        <v>1.81</v>
      </c>
      <c r="T16" s="14">
        <v>1.66</v>
      </c>
      <c r="U16" s="14">
        <v>2.23</v>
      </c>
      <c r="V16" s="14">
        <v>9.82</v>
      </c>
      <c r="W16" s="14">
        <v>3.52</v>
      </c>
      <c r="X16" s="2" t="s">
        <v>12</v>
      </c>
      <c r="Y16" s="1">
        <v>2.42</v>
      </c>
      <c r="Z16" s="14">
        <v>1.1253</v>
      </c>
      <c r="AA16" s="14">
        <v>0.88880000000000003</v>
      </c>
      <c r="AB16" s="14">
        <f t="shared" si="0"/>
        <v>2.0141</v>
      </c>
      <c r="AC16" s="14">
        <v>0.75330000000000008</v>
      </c>
      <c r="AD16" s="14">
        <v>1.1484000000000001</v>
      </c>
      <c r="AE16" s="14">
        <v>0.20790000000000003</v>
      </c>
      <c r="AF16" s="14">
        <v>1.5747</v>
      </c>
      <c r="AG16" s="14">
        <v>1.5105999999999999</v>
      </c>
      <c r="AH16" s="14">
        <v>2.0739000000000001</v>
      </c>
      <c r="AI16" s="14">
        <v>9.4271999999999991</v>
      </c>
      <c r="AJ16" s="14">
        <v>3.3087999999999997</v>
      </c>
      <c r="AK16" s="14">
        <v>2.2021999999999999</v>
      </c>
      <c r="AL16" s="14">
        <v>0.06</v>
      </c>
      <c r="AM16" s="14">
        <v>0.09</v>
      </c>
      <c r="AN16" s="14">
        <v>0.02</v>
      </c>
      <c r="AO16" s="14">
        <v>0.18</v>
      </c>
      <c r="AP16" s="14">
        <v>1</v>
      </c>
      <c r="AQ16" s="14">
        <v>282</v>
      </c>
      <c r="AR16" s="14">
        <v>3.98</v>
      </c>
      <c r="AS16" s="14">
        <v>11.04</v>
      </c>
      <c r="AT16" s="14">
        <v>25.97</v>
      </c>
      <c r="AU16" s="14">
        <v>1</v>
      </c>
      <c r="AV16" s="2" t="s">
        <v>12</v>
      </c>
      <c r="AW16" s="1" t="s">
        <v>299</v>
      </c>
      <c r="AX16" s="1" t="s">
        <v>299</v>
      </c>
      <c r="AY16" s="1" t="s">
        <v>299</v>
      </c>
      <c r="AZ16" s="1" t="s">
        <v>299</v>
      </c>
      <c r="BA16" s="14">
        <v>6.7</v>
      </c>
      <c r="BB16" s="1" t="s">
        <v>299</v>
      </c>
      <c r="BC16" s="14">
        <v>0.3</v>
      </c>
      <c r="BD16" s="14">
        <v>2.2000000000000002</v>
      </c>
      <c r="BE16" s="14">
        <v>55</v>
      </c>
      <c r="BF16" s="14">
        <v>3.5</v>
      </c>
      <c r="BG16" s="14">
        <v>6.9</v>
      </c>
      <c r="BH16" s="14">
        <v>0.15</v>
      </c>
      <c r="BI16" s="14">
        <v>0.13</v>
      </c>
      <c r="BJ16" s="1">
        <v>0</v>
      </c>
      <c r="BK16" s="1" t="s">
        <v>299</v>
      </c>
      <c r="BL16" s="1">
        <v>330</v>
      </c>
    </row>
    <row r="17" spans="1:64" ht="16.5" customHeight="1" x14ac:dyDescent="0.25">
      <c r="A17" s="2" t="s">
        <v>13</v>
      </c>
      <c r="B17" s="14">
        <v>96.12</v>
      </c>
      <c r="C17" s="14">
        <v>56.4</v>
      </c>
      <c r="D17" s="14">
        <f>C17*0.72</f>
        <v>40.607999999999997</v>
      </c>
      <c r="E17" s="1" t="s">
        <v>299</v>
      </c>
      <c r="F17" s="1">
        <v>3068</v>
      </c>
      <c r="G17" s="14">
        <v>11.09</v>
      </c>
      <c r="H17" s="14" t="s">
        <v>299</v>
      </c>
      <c r="I17" s="14">
        <v>6.37</v>
      </c>
      <c r="J17" s="14" t="s">
        <v>299</v>
      </c>
      <c r="K17" s="14">
        <v>3.16</v>
      </c>
      <c r="L17" s="14">
        <f>G17*0.0063</f>
        <v>6.9866999999999999E-2</v>
      </c>
      <c r="M17" s="14">
        <v>0.69</v>
      </c>
      <c r="N17" s="14">
        <v>0.46</v>
      </c>
      <c r="O17" s="14">
        <f t="shared" si="1"/>
        <v>1.1499999999999999</v>
      </c>
      <c r="P17" s="14">
        <v>2.59</v>
      </c>
      <c r="Q17" s="14">
        <v>0.91</v>
      </c>
      <c r="R17" s="14">
        <v>0.3</v>
      </c>
      <c r="S17" s="14">
        <v>1.63</v>
      </c>
      <c r="T17" s="14">
        <v>3.53</v>
      </c>
      <c r="U17" s="14">
        <v>1.47</v>
      </c>
      <c r="V17" s="14">
        <v>3.06</v>
      </c>
      <c r="W17" s="14">
        <v>1.65</v>
      </c>
      <c r="X17" s="2" t="s">
        <v>13</v>
      </c>
      <c r="Y17" s="1">
        <v>2.19</v>
      </c>
      <c r="Z17" s="14">
        <v>0.68059999999999987</v>
      </c>
      <c r="AA17" s="14">
        <v>0.34720000000000001</v>
      </c>
      <c r="AB17" s="14">
        <f t="shared" si="0"/>
        <v>1.0277999999999998</v>
      </c>
      <c r="AC17" s="14">
        <v>2.4960000000000004</v>
      </c>
      <c r="AD17" s="14">
        <v>0.92999999999999994</v>
      </c>
      <c r="AE17" s="14">
        <v>0.30400000000000005</v>
      </c>
      <c r="AF17" s="14">
        <v>1.3985999999999998</v>
      </c>
      <c r="AG17" s="14">
        <v>3.0659999999999998</v>
      </c>
      <c r="AH17" s="14">
        <v>1.4196000000000002</v>
      </c>
      <c r="AI17" s="14">
        <v>2.8490000000000002</v>
      </c>
      <c r="AJ17" s="14">
        <v>1.5642</v>
      </c>
      <c r="AK17" s="14">
        <v>1.9836</v>
      </c>
      <c r="AL17" s="14">
        <v>0.97</v>
      </c>
      <c r="AM17" s="14">
        <v>0.35</v>
      </c>
      <c r="AN17" s="14">
        <v>0.8</v>
      </c>
      <c r="AO17" s="14">
        <v>0.56999999999999995</v>
      </c>
      <c r="AP17" s="14">
        <v>0.45</v>
      </c>
      <c r="AQ17" s="14">
        <v>440</v>
      </c>
      <c r="AR17" s="14">
        <v>10</v>
      </c>
      <c r="AS17" s="14">
        <v>10</v>
      </c>
      <c r="AT17" s="14">
        <v>94</v>
      </c>
      <c r="AU17" s="14">
        <v>0.37</v>
      </c>
      <c r="AV17" s="2" t="s">
        <v>13</v>
      </c>
      <c r="AW17" s="1" t="s">
        <v>299</v>
      </c>
      <c r="AX17" s="1" t="s">
        <v>299</v>
      </c>
      <c r="AY17" s="1" t="s">
        <v>299</v>
      </c>
      <c r="AZ17" s="1" t="s">
        <v>299</v>
      </c>
      <c r="BA17" s="14">
        <v>1.2</v>
      </c>
      <c r="BB17" s="1" t="s">
        <v>299</v>
      </c>
      <c r="BC17" s="14">
        <v>0.6</v>
      </c>
      <c r="BD17" s="14">
        <v>4.7</v>
      </c>
      <c r="BE17" s="14">
        <v>57</v>
      </c>
      <c r="BF17" s="14">
        <v>5</v>
      </c>
      <c r="BG17" s="14">
        <v>2.4</v>
      </c>
      <c r="BH17" s="14">
        <v>0.08</v>
      </c>
      <c r="BI17" s="14">
        <v>0.5</v>
      </c>
      <c r="BJ17" s="1">
        <v>80</v>
      </c>
      <c r="BK17" s="1" t="s">
        <v>299</v>
      </c>
      <c r="BL17" s="1">
        <v>2077</v>
      </c>
    </row>
    <row r="18" spans="1:64" ht="16.5" customHeight="1" x14ac:dyDescent="0.25">
      <c r="A18" s="2" t="s">
        <v>14</v>
      </c>
      <c r="B18" s="14">
        <v>94.24</v>
      </c>
      <c r="C18" s="14">
        <v>80.900000000000006</v>
      </c>
      <c r="D18" s="14">
        <f>C18*0.68</f>
        <v>55.012000000000008</v>
      </c>
      <c r="E18" s="1" t="s">
        <v>299</v>
      </c>
      <c r="F18" s="1">
        <v>2850</v>
      </c>
      <c r="G18" s="14">
        <v>5.97</v>
      </c>
      <c r="H18" s="14">
        <v>0.32</v>
      </c>
      <c r="I18" s="14">
        <v>0.41</v>
      </c>
      <c r="J18" s="14" t="s">
        <v>299</v>
      </c>
      <c r="K18" s="14">
        <v>0.28000000000000003</v>
      </c>
      <c r="L18" s="14">
        <v>0</v>
      </c>
      <c r="M18" s="14">
        <v>0.59</v>
      </c>
      <c r="N18" s="14">
        <v>4.32</v>
      </c>
      <c r="O18" s="14">
        <f t="shared" si="1"/>
        <v>4.91</v>
      </c>
      <c r="P18" s="14">
        <v>2</v>
      </c>
      <c r="Q18" s="14">
        <v>0.82</v>
      </c>
      <c r="R18" s="14">
        <v>0.6</v>
      </c>
      <c r="S18" s="14">
        <v>3.72</v>
      </c>
      <c r="T18" s="14">
        <v>5.63</v>
      </c>
      <c r="U18" s="14">
        <v>3.63</v>
      </c>
      <c r="V18" s="14">
        <v>6.59</v>
      </c>
      <c r="W18" s="14">
        <v>3.95</v>
      </c>
      <c r="X18" s="2" t="s">
        <v>14</v>
      </c>
      <c r="Y18" s="1">
        <v>5.75</v>
      </c>
      <c r="Z18" s="14">
        <v>0.43069999999999997</v>
      </c>
      <c r="AA18" s="14">
        <v>3.1536</v>
      </c>
      <c r="AB18" s="14">
        <f t="shared" si="0"/>
        <v>3.5842999999999998</v>
      </c>
      <c r="AC18" s="14">
        <v>1.1200000000000001</v>
      </c>
      <c r="AD18" s="14">
        <v>0.4592</v>
      </c>
      <c r="AE18" s="14">
        <v>0.378</v>
      </c>
      <c r="AF18" s="14">
        <v>2.6412</v>
      </c>
      <c r="AG18" s="14">
        <v>4.5602999999999998</v>
      </c>
      <c r="AH18" s="14">
        <v>2.7587999999999999</v>
      </c>
      <c r="AI18" s="14">
        <v>5.0743</v>
      </c>
      <c r="AJ18" s="14">
        <v>3.1205000000000003</v>
      </c>
      <c r="AK18" s="14">
        <v>4.3125</v>
      </c>
      <c r="AL18" s="14">
        <v>0.26</v>
      </c>
      <c r="AM18" s="14">
        <v>0.2</v>
      </c>
      <c r="AN18" s="14">
        <v>0.34</v>
      </c>
      <c r="AO18" s="14">
        <v>0.19</v>
      </c>
      <c r="AP18" s="14">
        <v>1.39</v>
      </c>
      <c r="AQ18" s="14">
        <v>76</v>
      </c>
      <c r="AR18" s="14">
        <v>10</v>
      </c>
      <c r="AS18" s="14">
        <v>10</v>
      </c>
      <c r="AT18" s="14">
        <v>111</v>
      </c>
      <c r="AU18" s="14">
        <v>0.69</v>
      </c>
      <c r="AV18" s="2" t="s">
        <v>14</v>
      </c>
      <c r="AW18" s="1" t="s">
        <v>299</v>
      </c>
      <c r="AX18" s="1" t="s">
        <v>299</v>
      </c>
      <c r="AY18" s="1" t="s">
        <v>299</v>
      </c>
      <c r="AZ18" s="1" t="s">
        <v>299</v>
      </c>
      <c r="BA18" s="14">
        <v>7.3</v>
      </c>
      <c r="BB18" s="1" t="s">
        <v>299</v>
      </c>
      <c r="BC18" s="14">
        <v>0.1</v>
      </c>
      <c r="BD18" s="14">
        <v>2.1</v>
      </c>
      <c r="BE18" s="14">
        <v>21</v>
      </c>
      <c r="BF18" s="14">
        <v>10</v>
      </c>
      <c r="BG18" s="14">
        <v>3</v>
      </c>
      <c r="BH18" s="14">
        <v>0.13</v>
      </c>
      <c r="BI18" s="14">
        <v>0.2</v>
      </c>
      <c r="BJ18" s="1">
        <v>78</v>
      </c>
      <c r="BK18" s="1" t="s">
        <v>299</v>
      </c>
      <c r="BL18" s="1">
        <v>891</v>
      </c>
    </row>
    <row r="19" spans="1:64" ht="16.5" customHeight="1" x14ac:dyDescent="0.25">
      <c r="A19" s="2" t="s">
        <v>15</v>
      </c>
      <c r="B19" s="15">
        <v>93.7</v>
      </c>
      <c r="C19" s="14">
        <v>63.28</v>
      </c>
      <c r="D19" s="14">
        <f>C19*0.85</f>
        <v>53.787999999999997</v>
      </c>
      <c r="E19" s="1" t="s">
        <v>299</v>
      </c>
      <c r="F19" s="1">
        <v>3528</v>
      </c>
      <c r="G19" s="14">
        <v>9.7100000000000009</v>
      </c>
      <c r="H19" s="14">
        <v>0.24</v>
      </c>
      <c r="I19" s="14">
        <v>4.28</v>
      </c>
      <c r="J19" s="14" t="s">
        <v>299</v>
      </c>
      <c r="K19" s="14">
        <v>2.93</v>
      </c>
      <c r="L19" s="14" t="s">
        <v>299</v>
      </c>
      <c r="M19" s="14">
        <v>1.73</v>
      </c>
      <c r="N19" s="14">
        <v>0.61</v>
      </c>
      <c r="O19" s="14">
        <f t="shared" si="1"/>
        <v>2.34</v>
      </c>
      <c r="P19" s="14">
        <v>4.5599999999999996</v>
      </c>
      <c r="Q19" s="14">
        <v>1.44</v>
      </c>
      <c r="R19" s="14">
        <v>0.63</v>
      </c>
      <c r="S19" s="14">
        <v>2.58</v>
      </c>
      <c r="T19" s="14">
        <v>3.84</v>
      </c>
      <c r="U19" s="14">
        <v>2.56</v>
      </c>
      <c r="V19" s="14">
        <v>4.47</v>
      </c>
      <c r="W19" s="14">
        <v>2.4700000000000002</v>
      </c>
      <c r="X19" s="2" t="s">
        <v>15</v>
      </c>
      <c r="Y19" s="1">
        <v>3.06</v>
      </c>
      <c r="Z19" s="14">
        <v>1.5050999999999999</v>
      </c>
      <c r="AA19" s="14">
        <v>0.39040000000000002</v>
      </c>
      <c r="AB19" s="14">
        <f t="shared" si="0"/>
        <v>1.8955</v>
      </c>
      <c r="AC19" s="14">
        <v>3.9215999999999998</v>
      </c>
      <c r="AD19" s="14">
        <v>1.2096</v>
      </c>
      <c r="AE19" s="14">
        <v>0.4788</v>
      </c>
      <c r="AF19" s="14">
        <v>2.0898000000000003</v>
      </c>
      <c r="AG19" s="14">
        <v>3.3024</v>
      </c>
      <c r="AH19" s="14">
        <v>2.1248</v>
      </c>
      <c r="AI19" s="14">
        <v>3.7100999999999997</v>
      </c>
      <c r="AJ19" s="14">
        <v>2.0253999999999999</v>
      </c>
      <c r="AK19" s="14">
        <v>2.5398000000000001</v>
      </c>
      <c r="AL19" s="14" t="s">
        <v>299</v>
      </c>
      <c r="AM19" s="14">
        <v>0.13</v>
      </c>
      <c r="AN19" s="14" t="s">
        <v>299</v>
      </c>
      <c r="AO19" s="14">
        <v>0.62</v>
      </c>
      <c r="AP19" s="14" t="s">
        <v>299</v>
      </c>
      <c r="AQ19" s="14">
        <v>411</v>
      </c>
      <c r="AR19" s="14">
        <v>38.9</v>
      </c>
      <c r="AS19" s="14">
        <v>8</v>
      </c>
      <c r="AT19" s="14">
        <v>88.98</v>
      </c>
      <c r="AU19" s="14" t="s">
        <v>299</v>
      </c>
      <c r="AV19" s="2" t="s">
        <v>15</v>
      </c>
      <c r="AW19" s="1" t="s">
        <v>299</v>
      </c>
      <c r="AX19" s="1" t="s">
        <v>299</v>
      </c>
      <c r="AY19" s="1" t="s">
        <v>299</v>
      </c>
      <c r="AZ19" s="1" t="s">
        <v>299</v>
      </c>
      <c r="BA19" s="14" t="s">
        <v>299</v>
      </c>
      <c r="BB19" s="1" t="s">
        <v>299</v>
      </c>
      <c r="BC19" s="14" t="s">
        <v>299</v>
      </c>
      <c r="BD19" s="14" t="s">
        <v>299</v>
      </c>
      <c r="BE19" s="14" t="s">
        <v>299</v>
      </c>
      <c r="BF19" s="14" t="s">
        <v>299</v>
      </c>
      <c r="BG19" s="14" t="s">
        <v>299</v>
      </c>
      <c r="BH19" s="14" t="s">
        <v>299</v>
      </c>
      <c r="BI19" s="14" t="s">
        <v>299</v>
      </c>
      <c r="BJ19" s="1" t="s">
        <v>299</v>
      </c>
      <c r="BK19" s="1" t="s">
        <v>299</v>
      </c>
      <c r="BL19" s="1" t="s">
        <v>299</v>
      </c>
    </row>
    <row r="20" spans="1:64" ht="16.5" customHeight="1" x14ac:dyDescent="0.25">
      <c r="A20" s="2" t="s">
        <v>16</v>
      </c>
      <c r="B20" s="14">
        <v>74.099999999999994</v>
      </c>
      <c r="C20" s="14">
        <v>4.8</v>
      </c>
      <c r="D20" s="14" t="s">
        <v>299</v>
      </c>
      <c r="E20" s="1" t="s">
        <v>299</v>
      </c>
      <c r="F20" s="1">
        <v>2333</v>
      </c>
      <c r="G20" s="14">
        <v>0.15</v>
      </c>
      <c r="H20" s="14" t="s">
        <v>299</v>
      </c>
      <c r="I20" s="14">
        <v>0.82</v>
      </c>
      <c r="J20" s="14">
        <v>0.08</v>
      </c>
      <c r="K20" s="14">
        <v>7.9200000000000007E-2</v>
      </c>
      <c r="L20" s="14">
        <v>0</v>
      </c>
      <c r="M20" s="14">
        <v>0.02</v>
      </c>
      <c r="N20" s="14">
        <v>0.04</v>
      </c>
      <c r="O20" s="14">
        <f t="shared" si="1"/>
        <v>0.06</v>
      </c>
      <c r="P20" s="14">
        <v>0.02</v>
      </c>
      <c r="Q20" s="14">
        <v>0.01</v>
      </c>
      <c r="R20" s="14">
        <v>0.01</v>
      </c>
      <c r="S20" s="14">
        <v>0.05</v>
      </c>
      <c r="T20" s="14">
        <v>0.02</v>
      </c>
      <c r="U20" s="14">
        <v>0.04</v>
      </c>
      <c r="V20" s="14">
        <v>0.06</v>
      </c>
      <c r="W20" s="14">
        <v>0.03</v>
      </c>
      <c r="X20" s="2" t="s">
        <v>16</v>
      </c>
      <c r="Y20" s="1">
        <v>0.11</v>
      </c>
      <c r="Z20" s="14">
        <v>1.8000000000000002E-2</v>
      </c>
      <c r="AA20" s="14">
        <v>3.3599999999999998E-2</v>
      </c>
      <c r="AB20" s="14">
        <f t="shared" si="0"/>
        <v>5.16E-2</v>
      </c>
      <c r="AC20" s="14">
        <v>1.72E-2</v>
      </c>
      <c r="AD20" s="14">
        <v>9.0000000000000011E-3</v>
      </c>
      <c r="AE20" s="14">
        <v>8.6E-3</v>
      </c>
      <c r="AF20" s="14">
        <v>4.3000000000000003E-2</v>
      </c>
      <c r="AG20" s="14">
        <v>1.84E-2</v>
      </c>
      <c r="AH20" s="14" t="s">
        <v>299</v>
      </c>
      <c r="AI20" s="14">
        <v>5.3399999999999996E-2</v>
      </c>
      <c r="AJ20" s="14">
        <v>2.7E-2</v>
      </c>
      <c r="AK20" s="14">
        <v>9.5699999999999993E-2</v>
      </c>
      <c r="AL20" s="1" t="s">
        <v>299</v>
      </c>
      <c r="AM20" s="1" t="s">
        <v>299</v>
      </c>
      <c r="AN20" s="1" t="s">
        <v>299</v>
      </c>
      <c r="AO20" s="1" t="s">
        <v>299</v>
      </c>
      <c r="AP20" s="1" t="s">
        <v>299</v>
      </c>
      <c r="AQ20" s="1" t="s">
        <v>299</v>
      </c>
      <c r="AR20" s="1" t="s">
        <v>299</v>
      </c>
      <c r="AS20" s="1" t="s">
        <v>299</v>
      </c>
      <c r="AT20" s="1"/>
      <c r="AU20" s="1" t="s">
        <v>299</v>
      </c>
      <c r="AV20" s="2" t="s">
        <v>16</v>
      </c>
      <c r="AW20" s="1" t="s">
        <v>299</v>
      </c>
      <c r="AX20" s="1" t="s">
        <v>299</v>
      </c>
      <c r="AY20" s="1" t="s">
        <v>299</v>
      </c>
      <c r="AZ20" s="1" t="s">
        <v>299</v>
      </c>
      <c r="BA20" s="14" t="s">
        <v>299</v>
      </c>
      <c r="BB20" s="1" t="s">
        <v>299</v>
      </c>
      <c r="BC20" s="14" t="s">
        <v>299</v>
      </c>
      <c r="BD20" s="14" t="s">
        <v>299</v>
      </c>
      <c r="BE20" s="14" t="s">
        <v>299</v>
      </c>
      <c r="BF20" s="14" t="s">
        <v>299</v>
      </c>
      <c r="BG20" s="14" t="s">
        <v>299</v>
      </c>
      <c r="BH20" s="14" t="s">
        <v>299</v>
      </c>
      <c r="BI20" s="14" t="s">
        <v>299</v>
      </c>
      <c r="BJ20" s="1" t="s">
        <v>299</v>
      </c>
      <c r="BK20" s="1" t="s">
        <v>299</v>
      </c>
      <c r="BL20" s="1" t="s">
        <v>299</v>
      </c>
    </row>
    <row r="21" spans="1:64" x14ac:dyDescent="0.25">
      <c r="P21" s="1"/>
    </row>
    <row r="22" spans="1:64" ht="16.5" customHeight="1" x14ac:dyDescent="0.25">
      <c r="P22" s="1"/>
    </row>
    <row r="23" spans="1:64" ht="16.5" customHeight="1" x14ac:dyDescent="0.25">
      <c r="P23" s="1"/>
    </row>
    <row r="24" spans="1:64" ht="16.5" customHeight="1" x14ac:dyDescent="0.25">
      <c r="P24" s="1"/>
    </row>
    <row r="25" spans="1:64" x14ac:dyDescent="0.25">
      <c r="P25" s="1"/>
    </row>
    <row r="26" spans="1:64" ht="16.5" customHeight="1" x14ac:dyDescent="0.25">
      <c r="P26" s="1"/>
    </row>
    <row r="27" spans="1:64" ht="16.5" customHeight="1" x14ac:dyDescent="0.25">
      <c r="P27" s="1"/>
    </row>
    <row r="28" spans="1:64" ht="16.5" customHeight="1" x14ac:dyDescent="0.25">
      <c r="P28" s="1"/>
    </row>
    <row r="29" spans="1:64" ht="16.5" customHeight="1" x14ac:dyDescent="0.25">
      <c r="P29" s="1"/>
    </row>
    <row r="30" spans="1:64" x14ac:dyDescent="0.25">
      <c r="P30" s="1"/>
    </row>
    <row r="31" spans="1:64" ht="16.5" customHeight="1" x14ac:dyDescent="0.25">
      <c r="P31" s="1"/>
    </row>
    <row r="32" spans="1:64" ht="16.5" customHeight="1" x14ac:dyDescent="0.25">
      <c r="P32" s="1"/>
    </row>
    <row r="33" spans="16:16" ht="16.5" customHeight="1" x14ac:dyDescent="0.25">
      <c r="P33" s="1"/>
    </row>
    <row r="34" spans="16:16" ht="16.5" customHeight="1" x14ac:dyDescent="0.25">
      <c r="P34" s="1"/>
    </row>
    <row r="35" spans="16:16" x14ac:dyDescent="0.25">
      <c r="P35" s="1"/>
    </row>
    <row r="36" spans="16:16" ht="16.5" customHeight="1" x14ac:dyDescent="0.25">
      <c r="P36" s="1"/>
    </row>
    <row r="37" spans="16:16" ht="16.5" customHeight="1" x14ac:dyDescent="0.25">
      <c r="P37" s="1"/>
    </row>
    <row r="38" spans="16:16" ht="16.5" customHeight="1" x14ac:dyDescent="0.25">
      <c r="P38" s="1"/>
    </row>
    <row r="39" spans="16:16" ht="16.5" customHeight="1" x14ac:dyDescent="0.25">
      <c r="P39" s="1"/>
    </row>
    <row r="40" spans="16:16" x14ac:dyDescent="0.25">
      <c r="P40" s="1"/>
    </row>
    <row r="41" spans="16:16" ht="16.5" customHeight="1" x14ac:dyDescent="0.25">
      <c r="P41" s="1"/>
    </row>
    <row r="42" spans="16:16" ht="16.5" customHeight="1" x14ac:dyDescent="0.25">
      <c r="P42" s="1"/>
    </row>
    <row r="43" spans="16:16" ht="16.5" customHeight="1" x14ac:dyDescent="0.25">
      <c r="P43" s="1"/>
    </row>
    <row r="44" spans="16:16" x14ac:dyDescent="0.25">
      <c r="P44" s="1"/>
    </row>
    <row r="45" spans="16:16" ht="16.5" customHeight="1" x14ac:dyDescent="0.25">
      <c r="P45" s="1"/>
    </row>
    <row r="46" spans="16:16" ht="16.5" customHeight="1" x14ac:dyDescent="0.25">
      <c r="P46" s="1"/>
    </row>
    <row r="47" spans="16:16" ht="16.5" customHeight="1" x14ac:dyDescent="0.25">
      <c r="P47" s="1"/>
    </row>
    <row r="48" spans="16:16" ht="16.5" customHeight="1" x14ac:dyDescent="0.25">
      <c r="P48" s="1"/>
    </row>
    <row r="49" spans="3:16" x14ac:dyDescent="0.25">
      <c r="P49" s="1"/>
    </row>
    <row r="50" spans="3:16" ht="16.5" customHeight="1" x14ac:dyDescent="0.25">
      <c r="P50" s="1"/>
    </row>
    <row r="51" spans="3:16" ht="16.5" customHeight="1" x14ac:dyDescent="0.25">
      <c r="P51" s="1"/>
    </row>
    <row r="52" spans="3:16" ht="16.5" customHeight="1" x14ac:dyDescent="0.25">
      <c r="P52" s="1"/>
    </row>
    <row r="53" spans="3:16" ht="16.5" customHeight="1" x14ac:dyDescent="0.25">
      <c r="P53" s="1"/>
    </row>
    <row r="54" spans="3:16" x14ac:dyDescent="0.25">
      <c r="P54" s="1"/>
    </row>
    <row r="55" spans="3:16" ht="16.5" customHeight="1" x14ac:dyDescent="0.25">
      <c r="P55" s="1"/>
    </row>
    <row r="56" spans="3:16" ht="16.5" customHeight="1" x14ac:dyDescent="0.25"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</sheetData>
  <phoneticPr fontId="1" type="noConversion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"/>
  <sheetViews>
    <sheetView topLeftCell="B1" zoomScale="85" zoomScaleNormal="85" workbookViewId="0">
      <selection activeCell="M89" sqref="M89"/>
    </sheetView>
  </sheetViews>
  <sheetFormatPr defaultRowHeight="13.5" x14ac:dyDescent="0.25"/>
  <cols>
    <col min="1" max="1" width="47.375" style="36" bestFit="1" customWidth="1"/>
    <col min="2" max="2" width="25.375" style="36" customWidth="1"/>
    <col min="3" max="4" width="6.375" style="35" bestFit="1" customWidth="1"/>
    <col min="5" max="5" width="8" style="35" bestFit="1" customWidth="1"/>
    <col min="6" max="6" width="6.375" style="35" bestFit="1" customWidth="1"/>
    <col min="7" max="8" width="5.5" style="35" bestFit="1" customWidth="1"/>
    <col min="9" max="9" width="6.375" style="35" bestFit="1" customWidth="1"/>
    <col min="10" max="10" width="5.5" style="35" bestFit="1" customWidth="1"/>
    <col min="11" max="11" width="2.375" style="35" customWidth="1"/>
    <col min="12" max="12" width="9.625" style="35" bestFit="1" customWidth="1"/>
    <col min="13" max="13" width="6.375" style="35" bestFit="1" customWidth="1"/>
    <col min="14" max="14" width="6.875" style="35" bestFit="1" customWidth="1"/>
    <col min="15" max="15" width="7" style="35" bestFit="1" customWidth="1"/>
    <col min="16" max="16" width="6.875" style="35" bestFit="1" customWidth="1"/>
    <col min="17" max="17" width="7" style="35" bestFit="1" customWidth="1"/>
    <col min="18" max="18" width="1.75" style="35" customWidth="1"/>
    <col min="19" max="29" width="8.25" style="35" bestFit="1" customWidth="1"/>
    <col min="30" max="30" width="1.75" style="35" customWidth="1"/>
    <col min="31" max="31" width="8" style="35" bestFit="1" customWidth="1"/>
    <col min="32" max="32" width="7.5" style="35" bestFit="1" customWidth="1"/>
    <col min="33" max="33" width="7.25" style="35" bestFit="1" customWidth="1"/>
    <col min="34" max="36" width="6.5" style="35" bestFit="1" customWidth="1"/>
    <col min="37" max="37" width="6.375" style="35" bestFit="1" customWidth="1"/>
    <col min="38" max="38" width="6" style="35" bestFit="1" customWidth="1"/>
    <col min="39" max="39" width="6.5" style="35" bestFit="1" customWidth="1"/>
    <col min="40" max="40" width="9.375" style="35" bestFit="1" customWidth="1"/>
    <col min="41" max="41" width="6.5" style="35" bestFit="1" customWidth="1"/>
    <col min="42" max="42" width="2" style="35" customWidth="1"/>
    <col min="43" max="47" width="5.5" style="35" bestFit="1" customWidth="1"/>
    <col min="48" max="48" width="6" style="35" bestFit="1" customWidth="1"/>
    <col min="49" max="49" width="6.5" style="35" bestFit="1" customWidth="1"/>
    <col min="50" max="50" width="5.5" style="35" bestFit="1" customWidth="1"/>
    <col min="51" max="51" width="6.5" style="35" bestFit="1" customWidth="1"/>
    <col min="52" max="52" width="7" style="35" bestFit="1" customWidth="1"/>
    <col min="53" max="16384" width="9" style="35"/>
  </cols>
  <sheetData>
    <row r="1" spans="1:52" ht="27" x14ac:dyDescent="0.25">
      <c r="A1" s="36" t="s">
        <v>921</v>
      </c>
      <c r="B1" s="36" t="s">
        <v>920</v>
      </c>
      <c r="C1" s="35" t="s">
        <v>919</v>
      </c>
      <c r="D1" s="35" t="s">
        <v>918</v>
      </c>
      <c r="E1" s="35" t="s">
        <v>917</v>
      </c>
      <c r="F1" s="35" t="s">
        <v>916</v>
      </c>
      <c r="G1" s="35" t="s">
        <v>915</v>
      </c>
      <c r="H1" s="35" t="s">
        <v>914</v>
      </c>
      <c r="I1" s="35" t="s">
        <v>913</v>
      </c>
      <c r="J1" s="35" t="s">
        <v>912</v>
      </c>
      <c r="L1" s="38" t="s">
        <v>911</v>
      </c>
      <c r="M1" s="38" t="s">
        <v>910</v>
      </c>
      <c r="N1" s="46" t="s">
        <v>909</v>
      </c>
      <c r="O1" s="46"/>
      <c r="P1" s="46" t="s">
        <v>908</v>
      </c>
      <c r="Q1" s="46"/>
      <c r="S1" s="35" t="s">
        <v>907</v>
      </c>
      <c r="T1" s="35" t="s">
        <v>906</v>
      </c>
      <c r="U1" s="35" t="s">
        <v>905</v>
      </c>
      <c r="V1" s="35" t="s">
        <v>904</v>
      </c>
      <c r="W1" s="35" t="s">
        <v>903</v>
      </c>
      <c r="X1" s="35" t="s">
        <v>902</v>
      </c>
      <c r="Y1" s="35" t="s">
        <v>901</v>
      </c>
      <c r="Z1" s="35" t="s">
        <v>900</v>
      </c>
      <c r="AA1" s="35" t="s">
        <v>899</v>
      </c>
      <c r="AB1" s="35" t="s">
        <v>898</v>
      </c>
      <c r="AC1" s="35" t="s">
        <v>897</v>
      </c>
      <c r="AE1" s="35" t="s">
        <v>896</v>
      </c>
      <c r="AF1" s="35" t="s">
        <v>895</v>
      </c>
      <c r="AG1" s="35" t="s">
        <v>894</v>
      </c>
      <c r="AH1" s="35" t="s">
        <v>893</v>
      </c>
      <c r="AI1" s="35" t="s">
        <v>892</v>
      </c>
      <c r="AJ1" s="35" t="s">
        <v>891</v>
      </c>
      <c r="AK1" s="35" t="s">
        <v>890</v>
      </c>
      <c r="AL1" s="35" t="s">
        <v>889</v>
      </c>
      <c r="AM1" s="35" t="s">
        <v>888</v>
      </c>
      <c r="AN1" s="35" t="s">
        <v>887</v>
      </c>
      <c r="AO1" s="35" t="s">
        <v>886</v>
      </c>
      <c r="AQ1" s="35" t="s">
        <v>27</v>
      </c>
      <c r="AR1" s="35" t="s">
        <v>28</v>
      </c>
      <c r="AS1" s="35" t="s">
        <v>885</v>
      </c>
      <c r="AT1" s="35" t="s">
        <v>26</v>
      </c>
      <c r="AU1" s="35" t="s">
        <v>29</v>
      </c>
      <c r="AV1" s="35" t="s">
        <v>31</v>
      </c>
      <c r="AW1" s="35" t="s">
        <v>30</v>
      </c>
      <c r="AX1" s="35" t="s">
        <v>32</v>
      </c>
      <c r="AY1" s="35" t="s">
        <v>33</v>
      </c>
      <c r="AZ1" s="35" t="s">
        <v>34</v>
      </c>
    </row>
    <row r="2" spans="1:52" x14ac:dyDescent="0.25">
      <c r="A2" s="46"/>
      <c r="B2" s="46"/>
      <c r="C2" s="35" t="s">
        <v>884</v>
      </c>
      <c r="D2" s="35" t="s">
        <v>884</v>
      </c>
      <c r="E2" s="35" t="s">
        <v>884</v>
      </c>
      <c r="F2" s="35" t="s">
        <v>884</v>
      </c>
      <c r="G2" s="35" t="s">
        <v>884</v>
      </c>
      <c r="H2" s="35" t="s">
        <v>884</v>
      </c>
      <c r="I2" s="35" t="s">
        <v>884</v>
      </c>
      <c r="J2" s="35" t="s">
        <v>884</v>
      </c>
      <c r="L2" s="35" t="s">
        <v>75</v>
      </c>
      <c r="M2" s="35" t="s">
        <v>75</v>
      </c>
      <c r="N2" s="35" t="s">
        <v>76</v>
      </c>
      <c r="O2" s="35" t="s">
        <v>77</v>
      </c>
      <c r="P2" s="35" t="s">
        <v>76</v>
      </c>
      <c r="Q2" s="35" t="s">
        <v>77</v>
      </c>
      <c r="S2" s="35" t="s">
        <v>884</v>
      </c>
      <c r="T2" s="35" t="s">
        <v>884</v>
      </c>
      <c r="U2" s="35" t="s">
        <v>884</v>
      </c>
      <c r="V2" s="35" t="s">
        <v>884</v>
      </c>
      <c r="W2" s="35" t="s">
        <v>884</v>
      </c>
      <c r="X2" s="35" t="s">
        <v>884</v>
      </c>
      <c r="Y2" s="35" t="s">
        <v>884</v>
      </c>
      <c r="Z2" s="35" t="s">
        <v>884</v>
      </c>
      <c r="AA2" s="35" t="s">
        <v>884</v>
      </c>
      <c r="AB2" s="35" t="s">
        <v>884</v>
      </c>
      <c r="AC2" s="35" t="s">
        <v>884</v>
      </c>
      <c r="AE2" s="35" t="s">
        <v>78</v>
      </c>
      <c r="AF2" s="35" t="s">
        <v>79</v>
      </c>
      <c r="AG2" s="35" t="s">
        <v>78</v>
      </c>
      <c r="AH2" s="35" t="s">
        <v>78</v>
      </c>
      <c r="AI2" s="35" t="s">
        <v>78</v>
      </c>
      <c r="AJ2" s="35" t="s">
        <v>78</v>
      </c>
      <c r="AK2" s="35" t="s">
        <v>80</v>
      </c>
      <c r="AL2" s="35" t="s">
        <v>80</v>
      </c>
      <c r="AM2" s="35" t="s">
        <v>78</v>
      </c>
      <c r="AN2" s="35" t="s">
        <v>80</v>
      </c>
      <c r="AO2" s="35" t="s">
        <v>78</v>
      </c>
      <c r="AQ2" s="35" t="s">
        <v>75</v>
      </c>
      <c r="AR2" s="35" t="s">
        <v>75</v>
      </c>
      <c r="AS2" s="35" t="s">
        <v>75</v>
      </c>
      <c r="AT2" s="35" t="s">
        <v>75</v>
      </c>
      <c r="AU2" s="35" t="s">
        <v>75</v>
      </c>
      <c r="AV2" s="35" t="s">
        <v>883</v>
      </c>
      <c r="AW2" s="35" t="s">
        <v>81</v>
      </c>
      <c r="AX2" s="35" t="s">
        <v>81</v>
      </c>
      <c r="AY2" s="35" t="s">
        <v>81</v>
      </c>
      <c r="AZ2" s="35" t="s">
        <v>81</v>
      </c>
    </row>
    <row r="3" spans="1:52" ht="16.5" customHeight="1" x14ac:dyDescent="0.25">
      <c r="A3" s="36" t="s">
        <v>871</v>
      </c>
      <c r="B3" s="36" t="s">
        <v>870</v>
      </c>
      <c r="C3" s="35">
        <v>93</v>
      </c>
      <c r="D3" s="35">
        <v>20</v>
      </c>
      <c r="E3" s="35">
        <v>3.5</v>
      </c>
      <c r="F3" s="35">
        <v>20</v>
      </c>
      <c r="G3" s="35">
        <v>1.5</v>
      </c>
      <c r="H3" s="35">
        <v>0.27</v>
      </c>
      <c r="I3" s="35">
        <v>0.27</v>
      </c>
      <c r="J3" s="35">
        <v>10.5</v>
      </c>
      <c r="L3" s="35">
        <v>14</v>
      </c>
      <c r="M3" s="35">
        <v>58</v>
      </c>
      <c r="N3" s="35">
        <v>740</v>
      </c>
      <c r="O3" s="35">
        <v>1630</v>
      </c>
      <c r="P3" s="35">
        <v>1070</v>
      </c>
      <c r="Q3" s="35">
        <v>2350</v>
      </c>
      <c r="S3" s="35">
        <v>0.33</v>
      </c>
      <c r="T3" s="35">
        <v>0.23</v>
      </c>
      <c r="U3" s="35">
        <v>0.87</v>
      </c>
      <c r="V3" s="35">
        <v>0.46</v>
      </c>
      <c r="W3" s="35">
        <v>0.88</v>
      </c>
      <c r="X3" s="35">
        <v>0.98</v>
      </c>
      <c r="Y3" s="35">
        <v>0.42</v>
      </c>
      <c r="Z3" s="35">
        <v>1.19</v>
      </c>
      <c r="AA3" s="35">
        <v>1.5</v>
      </c>
      <c r="AB3" s="35">
        <v>0.98</v>
      </c>
      <c r="AC3" s="35">
        <v>1.04</v>
      </c>
      <c r="AE3" s="35">
        <v>123</v>
      </c>
      <c r="AF3" s="35">
        <v>248</v>
      </c>
      <c r="AG3" s="35">
        <v>147</v>
      </c>
      <c r="AH3" s="35">
        <v>3.9</v>
      </c>
      <c r="AI3" s="35">
        <v>15.5</v>
      </c>
      <c r="AJ3" s="35">
        <v>32.6</v>
      </c>
      <c r="AK3" s="35">
        <v>300</v>
      </c>
      <c r="AL3" s="35">
        <v>2600</v>
      </c>
      <c r="AM3" s="35">
        <v>1614</v>
      </c>
      <c r="AN3" s="35" t="s">
        <v>882</v>
      </c>
      <c r="AO3" s="35">
        <v>54.6</v>
      </c>
      <c r="AQ3" s="35">
        <v>0.08</v>
      </c>
      <c r="AR3" s="35">
        <v>2.5</v>
      </c>
      <c r="AS3" s="35">
        <v>0.47</v>
      </c>
      <c r="AT3" s="35">
        <v>0.32</v>
      </c>
      <c r="AU3" s="35">
        <v>0.43</v>
      </c>
      <c r="AV3" s="35">
        <v>40</v>
      </c>
      <c r="AW3" s="35">
        <v>320</v>
      </c>
      <c r="AX3" s="35">
        <v>10</v>
      </c>
      <c r="AY3" s="35">
        <v>23</v>
      </c>
      <c r="AZ3" s="35">
        <v>0.5</v>
      </c>
    </row>
    <row r="4" spans="1:52" ht="16.5" customHeight="1" x14ac:dyDescent="0.25">
      <c r="A4" s="36" t="s">
        <v>871</v>
      </c>
      <c r="B4" s="36" t="s">
        <v>870</v>
      </c>
      <c r="C4" s="35">
        <v>93</v>
      </c>
      <c r="D4" s="35">
        <v>17</v>
      </c>
      <c r="E4" s="35">
        <v>3</v>
      </c>
      <c r="F4" s="35">
        <v>24</v>
      </c>
      <c r="G4" s="35">
        <v>1.3</v>
      </c>
      <c r="H4" s="35">
        <v>0.23</v>
      </c>
      <c r="I4" s="35">
        <v>0.23</v>
      </c>
      <c r="J4" s="35">
        <v>9.6</v>
      </c>
      <c r="L4" s="35">
        <v>12.3</v>
      </c>
      <c r="M4" s="35">
        <v>58</v>
      </c>
      <c r="N4" s="35">
        <v>672</v>
      </c>
      <c r="O4" s="35">
        <v>1480</v>
      </c>
      <c r="P4" s="35">
        <v>1020</v>
      </c>
      <c r="Q4" s="35">
        <v>2250</v>
      </c>
      <c r="S4" s="35" t="s">
        <v>881</v>
      </c>
      <c r="T4" s="35" t="s">
        <v>880</v>
      </c>
      <c r="U4" s="35" t="s">
        <v>879</v>
      </c>
      <c r="V4" s="35">
        <v>0.45</v>
      </c>
      <c r="W4" s="35" t="s">
        <v>878</v>
      </c>
      <c r="X4" s="35" t="s">
        <v>877</v>
      </c>
      <c r="Y4" s="35" t="s">
        <v>876</v>
      </c>
      <c r="Z4" s="35" t="s">
        <v>875</v>
      </c>
      <c r="AA4" s="35" t="s">
        <v>874</v>
      </c>
      <c r="AB4" s="35" t="s">
        <v>873</v>
      </c>
      <c r="AC4" s="35" t="s">
        <v>872</v>
      </c>
      <c r="AE4" s="35">
        <v>110</v>
      </c>
      <c r="AF4" s="35">
        <v>123</v>
      </c>
      <c r="AG4" s="35">
        <v>128</v>
      </c>
      <c r="AH4" s="35">
        <v>3.5</v>
      </c>
      <c r="AI4" s="35">
        <v>12.3</v>
      </c>
      <c r="AJ4" s="35">
        <v>29.9</v>
      </c>
      <c r="AK4" s="35">
        <v>270</v>
      </c>
      <c r="AL4" s="35">
        <v>2000</v>
      </c>
      <c r="AM4" s="35">
        <v>1515</v>
      </c>
      <c r="AN4" s="35" t="s">
        <v>74</v>
      </c>
      <c r="AO4" s="35">
        <v>45.7</v>
      </c>
      <c r="AQ4" s="35">
        <v>0.08</v>
      </c>
      <c r="AR4" s="35">
        <v>2.4</v>
      </c>
      <c r="AS4" s="35">
        <v>0.47</v>
      </c>
      <c r="AT4" s="35">
        <v>0.26</v>
      </c>
      <c r="AU4" s="35">
        <v>0.21</v>
      </c>
      <c r="AV4" s="35">
        <v>35</v>
      </c>
      <c r="AW4" s="35">
        <v>400</v>
      </c>
      <c r="AX4" s="35">
        <v>10</v>
      </c>
      <c r="AY4" s="35">
        <v>21</v>
      </c>
      <c r="AZ4" s="35">
        <v>0.6</v>
      </c>
    </row>
    <row r="5" spans="1:52" ht="16.5" customHeight="1" x14ac:dyDescent="0.25">
      <c r="A5" s="36" t="s">
        <v>871</v>
      </c>
      <c r="B5" s="36" t="s">
        <v>870</v>
      </c>
      <c r="C5" s="35">
        <v>93</v>
      </c>
      <c r="D5" s="35">
        <v>15</v>
      </c>
      <c r="E5" s="35">
        <v>2.2999999999999998</v>
      </c>
      <c r="F5" s="35">
        <v>26</v>
      </c>
      <c r="G5" s="35">
        <v>1.2</v>
      </c>
      <c r="H5" s="35">
        <v>0.22</v>
      </c>
      <c r="I5" s="35">
        <v>0.22</v>
      </c>
      <c r="J5" s="35">
        <v>8.5</v>
      </c>
      <c r="L5" s="35">
        <v>11</v>
      </c>
      <c r="M5" s="35">
        <v>57</v>
      </c>
      <c r="N5" s="35">
        <v>600</v>
      </c>
      <c r="O5" s="35">
        <v>1320</v>
      </c>
      <c r="P5" s="35">
        <v>945</v>
      </c>
      <c r="Q5" s="35">
        <v>2075</v>
      </c>
      <c r="S5" s="35">
        <v>0.23</v>
      </c>
      <c r="T5" s="35">
        <v>0.17</v>
      </c>
      <c r="U5" s="35">
        <v>0.6</v>
      </c>
      <c r="V5" s="35">
        <v>0.38</v>
      </c>
      <c r="W5" s="35">
        <v>0.6</v>
      </c>
      <c r="X5" s="35">
        <v>0.68</v>
      </c>
      <c r="Y5" s="35">
        <v>0.3</v>
      </c>
      <c r="Z5" s="35">
        <v>0.84</v>
      </c>
      <c r="AA5" s="35">
        <v>1.1000000000000001</v>
      </c>
      <c r="AB5" s="35">
        <v>0.57999999999999996</v>
      </c>
      <c r="AC5" s="35">
        <v>0.66</v>
      </c>
      <c r="AE5" s="35">
        <v>63</v>
      </c>
      <c r="AF5" s="35">
        <v>100</v>
      </c>
      <c r="AG5" s="35">
        <v>98</v>
      </c>
      <c r="AH5" s="35">
        <v>3</v>
      </c>
      <c r="AI5" s="35">
        <v>10.6</v>
      </c>
      <c r="AJ5" s="35">
        <v>20.8</v>
      </c>
      <c r="AK5" s="35">
        <v>250</v>
      </c>
      <c r="AL5" s="35">
        <v>1540</v>
      </c>
      <c r="AM5" s="35">
        <v>1548</v>
      </c>
      <c r="AN5" s="35" t="s">
        <v>74</v>
      </c>
      <c r="AO5" s="35">
        <v>41.8</v>
      </c>
      <c r="AQ5" s="35">
        <v>7.0000000000000007E-2</v>
      </c>
      <c r="AR5" s="35">
        <v>2.2999999999999998</v>
      </c>
      <c r="AS5" s="35">
        <v>0.49</v>
      </c>
      <c r="AT5" s="35">
        <v>0.26</v>
      </c>
      <c r="AU5" s="35">
        <v>0.17</v>
      </c>
      <c r="AV5" s="35">
        <v>30</v>
      </c>
      <c r="AW5" s="35">
        <v>450</v>
      </c>
      <c r="AX5" s="35">
        <v>10</v>
      </c>
      <c r="AY5" s="35">
        <v>21</v>
      </c>
      <c r="AZ5" s="35">
        <v>0.5</v>
      </c>
    </row>
    <row r="6" spans="1:52" ht="16.5" customHeight="1" x14ac:dyDescent="0.25">
      <c r="A6" s="36" t="s">
        <v>869</v>
      </c>
      <c r="B6" s="36" t="s">
        <v>868</v>
      </c>
      <c r="C6" s="35">
        <v>91</v>
      </c>
      <c r="D6" s="35">
        <v>15</v>
      </c>
      <c r="E6" s="35">
        <v>1.7</v>
      </c>
      <c r="F6" s="35">
        <v>29</v>
      </c>
      <c r="G6" s="35">
        <v>1.4</v>
      </c>
      <c r="H6" s="35">
        <v>0.2</v>
      </c>
      <c r="I6" s="35">
        <v>0.2</v>
      </c>
      <c r="J6" s="35">
        <v>9</v>
      </c>
      <c r="L6" s="35">
        <v>11</v>
      </c>
      <c r="M6" s="35">
        <v>55</v>
      </c>
      <c r="N6" s="35">
        <v>350</v>
      </c>
      <c r="O6" s="35">
        <v>770</v>
      </c>
      <c r="P6" s="35">
        <v>790</v>
      </c>
      <c r="Q6" s="35">
        <v>1740</v>
      </c>
      <c r="S6" s="35">
        <v>0.2</v>
      </c>
      <c r="T6" s="35">
        <v>0.17</v>
      </c>
      <c r="U6" s="35">
        <v>0.6</v>
      </c>
      <c r="V6" s="35">
        <v>0.38</v>
      </c>
      <c r="W6" s="35">
        <v>0.6</v>
      </c>
      <c r="X6" s="35">
        <v>0.6</v>
      </c>
      <c r="Y6" s="35">
        <v>0.22</v>
      </c>
      <c r="Z6" s="35">
        <v>0.6</v>
      </c>
      <c r="AA6" s="35">
        <v>1.1000000000000001</v>
      </c>
      <c r="AB6" s="35">
        <v>0.57999999999999996</v>
      </c>
      <c r="AC6" s="35">
        <v>0.57999999999999996</v>
      </c>
      <c r="AE6" s="35">
        <v>45</v>
      </c>
      <c r="AF6" s="35">
        <v>6</v>
      </c>
      <c r="AG6" s="35">
        <v>40</v>
      </c>
      <c r="AH6" s="35">
        <v>2.8</v>
      </c>
      <c r="AI6" s="35">
        <v>8.6999999999999993</v>
      </c>
      <c r="AJ6" s="35">
        <v>15.3</v>
      </c>
      <c r="AK6" s="35">
        <v>250</v>
      </c>
      <c r="AL6" s="35">
        <v>1300</v>
      </c>
      <c r="AM6" s="35">
        <v>1500</v>
      </c>
      <c r="AN6" s="35" t="s">
        <v>74</v>
      </c>
      <c r="AO6" s="35">
        <v>35.299999999999997</v>
      </c>
      <c r="AQ6" s="35">
        <v>0.06</v>
      </c>
      <c r="AR6" s="35">
        <v>2.1</v>
      </c>
      <c r="AS6" s="35">
        <v>0.49</v>
      </c>
      <c r="AT6" s="35">
        <v>0.22</v>
      </c>
      <c r="AU6" s="35">
        <v>0.17</v>
      </c>
      <c r="AV6" s="35">
        <v>30</v>
      </c>
      <c r="AW6" s="35">
        <v>410</v>
      </c>
      <c r="AX6" s="35">
        <v>10</v>
      </c>
      <c r="AY6" s="35">
        <v>20</v>
      </c>
      <c r="AZ6" s="35">
        <v>0.5</v>
      </c>
    </row>
    <row r="7" spans="1:52" ht="16.5" customHeight="1" x14ac:dyDescent="0.25">
      <c r="A7" s="36" t="s">
        <v>867</v>
      </c>
      <c r="B7" s="36" t="s">
        <v>866</v>
      </c>
      <c r="C7" s="35">
        <v>91</v>
      </c>
      <c r="D7" s="35">
        <v>10</v>
      </c>
      <c r="E7" s="35">
        <v>10</v>
      </c>
      <c r="F7" s="35">
        <v>3</v>
      </c>
      <c r="G7" s="35">
        <v>0.1</v>
      </c>
      <c r="H7" s="35">
        <v>0.25</v>
      </c>
      <c r="I7" s="35">
        <v>0.18</v>
      </c>
      <c r="J7" s="35">
        <v>4</v>
      </c>
      <c r="L7" s="35">
        <v>6</v>
      </c>
      <c r="M7" s="35">
        <v>82</v>
      </c>
      <c r="N7" s="35">
        <v>1550</v>
      </c>
      <c r="O7" s="35">
        <v>3417</v>
      </c>
      <c r="P7" s="35">
        <v>1585</v>
      </c>
      <c r="Q7" s="35">
        <v>3494</v>
      </c>
      <c r="S7" s="35" t="s">
        <v>865</v>
      </c>
      <c r="T7" s="35" t="s">
        <v>864</v>
      </c>
      <c r="U7" s="35" t="s">
        <v>863</v>
      </c>
      <c r="V7" s="35">
        <v>0.09</v>
      </c>
      <c r="W7" s="35" t="s">
        <v>862</v>
      </c>
      <c r="X7" s="35" t="s">
        <v>861</v>
      </c>
      <c r="Y7" s="35" t="s">
        <v>860</v>
      </c>
      <c r="Z7" s="35" t="s">
        <v>859</v>
      </c>
      <c r="AA7" s="35" t="s">
        <v>129</v>
      </c>
      <c r="AB7" s="35" t="s">
        <v>858</v>
      </c>
      <c r="AC7" s="35" t="s">
        <v>857</v>
      </c>
      <c r="AE7" s="35">
        <v>5</v>
      </c>
      <c r="AF7" s="35">
        <v>3.9</v>
      </c>
      <c r="AG7" s="35">
        <v>25</v>
      </c>
      <c r="AH7" s="35">
        <v>1.5</v>
      </c>
      <c r="AI7" s="35">
        <v>1.5</v>
      </c>
      <c r="AJ7" s="35">
        <v>14.5</v>
      </c>
      <c r="AK7" s="35" t="s">
        <v>105</v>
      </c>
      <c r="AL7" s="35">
        <v>150</v>
      </c>
      <c r="AM7" s="35">
        <v>1230</v>
      </c>
      <c r="AN7" s="35" t="s">
        <v>105</v>
      </c>
      <c r="AO7" s="35">
        <v>18</v>
      </c>
      <c r="AQ7" s="35">
        <v>1.1399999999999999</v>
      </c>
      <c r="AR7" s="35">
        <v>0.1</v>
      </c>
      <c r="AS7" s="35">
        <v>1.25</v>
      </c>
      <c r="AT7" s="35">
        <v>0.32</v>
      </c>
      <c r="AU7" s="35">
        <v>0.02</v>
      </c>
      <c r="AV7" s="35">
        <v>60</v>
      </c>
      <c r="AW7" s="35">
        <v>50</v>
      </c>
      <c r="AX7" s="35">
        <v>5</v>
      </c>
      <c r="AY7" s="35">
        <v>15</v>
      </c>
      <c r="AZ7" s="35">
        <v>0.4</v>
      </c>
    </row>
    <row r="8" spans="1:52" ht="16.5" customHeight="1" x14ac:dyDescent="0.25">
      <c r="A8" s="36" t="s">
        <v>856</v>
      </c>
      <c r="B8" s="36" t="s">
        <v>855</v>
      </c>
      <c r="C8" s="35">
        <v>91</v>
      </c>
      <c r="D8" s="35">
        <v>10</v>
      </c>
      <c r="E8" s="35">
        <v>11.5</v>
      </c>
      <c r="F8" s="35">
        <v>1.5</v>
      </c>
      <c r="G8" s="35">
        <v>0.1</v>
      </c>
      <c r="H8" s="35">
        <v>0.25</v>
      </c>
      <c r="I8" s="35">
        <v>0.18</v>
      </c>
      <c r="J8" s="35">
        <v>2</v>
      </c>
      <c r="L8" s="35">
        <v>6</v>
      </c>
      <c r="M8" s="35">
        <v>82</v>
      </c>
      <c r="N8" s="35">
        <v>1750</v>
      </c>
      <c r="O8" s="35">
        <v>3858</v>
      </c>
      <c r="P8" s="35">
        <v>1800</v>
      </c>
      <c r="Q8" s="35">
        <v>3960</v>
      </c>
      <c r="S8" s="35">
        <v>0.16</v>
      </c>
      <c r="T8" s="35">
        <v>0.16</v>
      </c>
      <c r="U8" s="35">
        <v>0.3</v>
      </c>
      <c r="V8" s="35">
        <v>0.09</v>
      </c>
      <c r="W8" s="35">
        <v>0.28000000000000003</v>
      </c>
      <c r="X8" s="35">
        <v>0.36</v>
      </c>
      <c r="Y8" s="35">
        <v>0.2</v>
      </c>
      <c r="Z8" s="35">
        <v>0.4</v>
      </c>
      <c r="AA8" s="35">
        <v>0.8</v>
      </c>
      <c r="AB8" s="35">
        <v>0.4</v>
      </c>
      <c r="AC8" s="35">
        <v>0.4</v>
      </c>
      <c r="AE8" s="35">
        <v>5</v>
      </c>
      <c r="AF8" s="35">
        <v>3.9</v>
      </c>
      <c r="AG8" s="35">
        <v>25</v>
      </c>
      <c r="AH8" s="35">
        <v>1.5</v>
      </c>
      <c r="AI8" s="35">
        <v>1.5</v>
      </c>
      <c r="AJ8" s="35">
        <v>14.5</v>
      </c>
      <c r="AK8" s="35" t="s">
        <v>105</v>
      </c>
      <c r="AL8" s="35">
        <v>150</v>
      </c>
      <c r="AM8" s="35">
        <v>1230</v>
      </c>
      <c r="AN8" s="35" t="s">
        <v>105</v>
      </c>
      <c r="AO8" s="35">
        <v>18</v>
      </c>
      <c r="AQ8" s="35">
        <v>1.1399999999999999</v>
      </c>
      <c r="AR8" s="35">
        <v>0.1</v>
      </c>
      <c r="AS8" s="35">
        <v>1.25</v>
      </c>
      <c r="AT8" s="35">
        <v>0.32</v>
      </c>
      <c r="AU8" s="35">
        <v>0.02</v>
      </c>
      <c r="AV8" s="35">
        <v>60</v>
      </c>
      <c r="AW8" s="35">
        <v>50</v>
      </c>
      <c r="AX8" s="35">
        <v>5</v>
      </c>
      <c r="AY8" s="35">
        <v>15</v>
      </c>
      <c r="AZ8" s="35">
        <v>0.4</v>
      </c>
    </row>
    <row r="9" spans="1:52" ht="16.5" customHeight="1" x14ac:dyDescent="0.25">
      <c r="A9" s="36" t="s">
        <v>854</v>
      </c>
      <c r="B9" s="36" t="s">
        <v>853</v>
      </c>
      <c r="C9" s="35">
        <v>89</v>
      </c>
      <c r="D9" s="35">
        <v>11.5</v>
      </c>
      <c r="E9" s="35">
        <v>1.9</v>
      </c>
      <c r="F9" s="35">
        <v>5</v>
      </c>
      <c r="G9" s="35">
        <v>0.08</v>
      </c>
      <c r="H9" s="35">
        <v>0.42</v>
      </c>
      <c r="I9" s="35">
        <v>0.15</v>
      </c>
      <c r="J9" s="35">
        <v>2.5</v>
      </c>
      <c r="L9" s="35">
        <v>8.6</v>
      </c>
      <c r="M9" s="35">
        <v>74</v>
      </c>
      <c r="N9" s="35">
        <v>1250</v>
      </c>
      <c r="O9" s="35">
        <v>2750</v>
      </c>
      <c r="P9" s="35">
        <v>1305</v>
      </c>
      <c r="Q9" s="35">
        <v>2870</v>
      </c>
      <c r="S9" s="35" t="s">
        <v>107</v>
      </c>
      <c r="T9" s="35" t="s">
        <v>110</v>
      </c>
      <c r="U9" s="35" t="s">
        <v>113</v>
      </c>
      <c r="V9" s="35">
        <v>0.17</v>
      </c>
      <c r="W9" s="35" t="s">
        <v>117</v>
      </c>
      <c r="X9" s="35" t="s">
        <v>120</v>
      </c>
      <c r="Y9" s="35" t="s">
        <v>123</v>
      </c>
      <c r="Z9" s="35" t="s">
        <v>126</v>
      </c>
      <c r="AA9" s="35" t="s">
        <v>129</v>
      </c>
      <c r="AB9" s="35" t="s">
        <v>132</v>
      </c>
      <c r="AC9" s="35" t="s">
        <v>135</v>
      </c>
      <c r="AE9" s="35" t="s">
        <v>74</v>
      </c>
      <c r="AF9" s="35" t="s">
        <v>74</v>
      </c>
      <c r="AG9" s="35">
        <v>36</v>
      </c>
      <c r="AH9" s="35">
        <v>5</v>
      </c>
      <c r="AI9" s="35">
        <v>2</v>
      </c>
      <c r="AJ9" s="35">
        <v>6.4</v>
      </c>
      <c r="AK9" s="35">
        <v>200</v>
      </c>
      <c r="AL9" s="35">
        <v>397</v>
      </c>
      <c r="AM9" s="35">
        <v>1027</v>
      </c>
      <c r="AN9" s="35" t="s">
        <v>74</v>
      </c>
      <c r="AO9" s="35">
        <v>57.2</v>
      </c>
      <c r="AQ9" s="35">
        <v>0.03</v>
      </c>
      <c r="AR9" s="35">
        <v>0.56000000000000005</v>
      </c>
      <c r="AS9" s="35">
        <v>0.14000000000000001</v>
      </c>
      <c r="AT9" s="35">
        <v>0.12</v>
      </c>
      <c r="AU9" s="35">
        <v>0.15</v>
      </c>
      <c r="AV9" s="35">
        <v>16</v>
      </c>
      <c r="AW9" s="35">
        <v>80</v>
      </c>
      <c r="AX9" s="35">
        <v>8</v>
      </c>
      <c r="AY9" s="35">
        <v>30</v>
      </c>
      <c r="AZ9" s="35">
        <v>0.2</v>
      </c>
    </row>
    <row r="10" spans="1:52" ht="16.5" customHeight="1" x14ac:dyDescent="0.25">
      <c r="A10" s="36" t="s">
        <v>852</v>
      </c>
      <c r="B10" s="36" t="s">
        <v>851</v>
      </c>
      <c r="C10" s="35">
        <v>91</v>
      </c>
      <c r="D10" s="35">
        <v>10.6</v>
      </c>
      <c r="E10" s="35">
        <v>2.2000000000000002</v>
      </c>
      <c r="F10" s="35">
        <v>6.3</v>
      </c>
      <c r="G10" s="35">
        <v>0.04</v>
      </c>
      <c r="H10" s="35">
        <v>0.35</v>
      </c>
      <c r="I10" s="35">
        <v>0.12</v>
      </c>
      <c r="J10" s="35">
        <v>2.7</v>
      </c>
      <c r="L10" s="35">
        <v>6.4</v>
      </c>
      <c r="M10" s="35">
        <v>73</v>
      </c>
      <c r="N10" s="35">
        <v>1255</v>
      </c>
      <c r="O10" s="35">
        <v>2760</v>
      </c>
      <c r="P10" s="35">
        <v>1315</v>
      </c>
      <c r="Q10" s="35">
        <v>2900</v>
      </c>
      <c r="S10" s="35">
        <v>0.18</v>
      </c>
      <c r="T10" s="35">
        <v>0.22</v>
      </c>
      <c r="U10" s="35">
        <v>0.39</v>
      </c>
      <c r="V10" s="35">
        <v>0.15</v>
      </c>
      <c r="W10" s="35">
        <v>0.28999999999999998</v>
      </c>
      <c r="X10" s="35">
        <v>0.4</v>
      </c>
      <c r="Y10" s="35">
        <v>0.3</v>
      </c>
      <c r="Z10" s="35">
        <v>0.46</v>
      </c>
      <c r="AA10" s="35">
        <v>0.7</v>
      </c>
      <c r="AB10" s="35">
        <v>0.45</v>
      </c>
      <c r="AC10" s="35">
        <v>0.47</v>
      </c>
      <c r="AE10" s="35" t="s">
        <v>74</v>
      </c>
      <c r="AF10" s="35" t="s">
        <v>74</v>
      </c>
      <c r="AG10" s="35">
        <v>36</v>
      </c>
      <c r="AH10" s="35">
        <v>4</v>
      </c>
      <c r="AI10" s="35">
        <v>1.3</v>
      </c>
      <c r="AJ10" s="35">
        <v>7.3</v>
      </c>
      <c r="AK10" s="35">
        <v>150</v>
      </c>
      <c r="AL10" s="35">
        <v>300</v>
      </c>
      <c r="AM10" s="35">
        <v>930</v>
      </c>
      <c r="AN10" s="35" t="s">
        <v>74</v>
      </c>
      <c r="AO10" s="35">
        <v>44</v>
      </c>
      <c r="AQ10" s="35">
        <v>0.02</v>
      </c>
      <c r="AR10" s="35">
        <v>0.56000000000000005</v>
      </c>
      <c r="AS10" s="35">
        <v>0.14000000000000001</v>
      </c>
      <c r="AT10" s="35">
        <v>0.12</v>
      </c>
      <c r="AU10" s="35">
        <v>0.15</v>
      </c>
      <c r="AV10" s="35">
        <v>16</v>
      </c>
      <c r="AW10" s="35">
        <v>80</v>
      </c>
      <c r="AX10" s="35">
        <v>8</v>
      </c>
      <c r="AY10" s="35">
        <v>20</v>
      </c>
      <c r="AZ10" s="35">
        <v>0.1</v>
      </c>
    </row>
    <row r="11" spans="1:52" ht="16.5" customHeight="1" x14ac:dyDescent="0.25">
      <c r="A11" s="36" t="s">
        <v>850</v>
      </c>
      <c r="B11" s="36" t="s">
        <v>849</v>
      </c>
      <c r="C11" s="35">
        <v>91</v>
      </c>
      <c r="D11" s="35">
        <v>13.7</v>
      </c>
      <c r="E11" s="35">
        <v>1.9</v>
      </c>
      <c r="F11" s="35">
        <v>3.3</v>
      </c>
      <c r="G11" s="35">
        <v>0.06</v>
      </c>
      <c r="H11" s="35">
        <v>0.46</v>
      </c>
      <c r="I11" s="35" t="s">
        <v>74</v>
      </c>
      <c r="J11" s="35">
        <v>2.2000000000000002</v>
      </c>
      <c r="L11" s="35">
        <v>9</v>
      </c>
      <c r="M11" s="35">
        <v>72</v>
      </c>
      <c r="N11" s="35" t="s">
        <v>105</v>
      </c>
      <c r="O11" s="35" t="s">
        <v>105</v>
      </c>
      <c r="P11" s="35">
        <v>1490</v>
      </c>
      <c r="Q11" s="35">
        <v>3280</v>
      </c>
      <c r="S11" s="35">
        <v>0.2</v>
      </c>
      <c r="T11" s="35" t="s">
        <v>105</v>
      </c>
      <c r="U11" s="35">
        <v>0.5</v>
      </c>
      <c r="V11" s="35">
        <v>0.2</v>
      </c>
      <c r="W11" s="35">
        <v>0.4</v>
      </c>
      <c r="X11" s="35">
        <v>0.6</v>
      </c>
      <c r="Y11" s="35">
        <v>0.3</v>
      </c>
      <c r="Z11" s="35">
        <v>0.7</v>
      </c>
      <c r="AA11" s="35">
        <v>0.7</v>
      </c>
      <c r="AB11" s="35">
        <v>0.4</v>
      </c>
      <c r="AC11" s="35">
        <v>0.6</v>
      </c>
      <c r="AE11" s="35" t="s">
        <v>74</v>
      </c>
      <c r="AF11" s="35" t="s">
        <v>74</v>
      </c>
      <c r="AG11" s="35" t="s">
        <v>105</v>
      </c>
      <c r="AH11" s="35">
        <v>4</v>
      </c>
      <c r="AI11" s="35">
        <v>2.9</v>
      </c>
      <c r="AJ11" s="35">
        <v>7.9</v>
      </c>
      <c r="AK11" s="35" t="s">
        <v>105</v>
      </c>
      <c r="AL11" s="35" t="s">
        <v>105</v>
      </c>
      <c r="AM11" s="35">
        <v>895</v>
      </c>
      <c r="AN11" s="35" t="s">
        <v>105</v>
      </c>
      <c r="AO11" s="35">
        <v>56.7</v>
      </c>
      <c r="AQ11" s="35">
        <v>0.08</v>
      </c>
      <c r="AR11" s="35">
        <v>0.43</v>
      </c>
      <c r="AS11" s="35" t="s">
        <v>105</v>
      </c>
      <c r="AT11" s="35">
        <v>0.18</v>
      </c>
      <c r="AU11" s="35" t="s">
        <v>105</v>
      </c>
      <c r="AV11" s="35">
        <v>19</v>
      </c>
      <c r="AW11" s="35">
        <v>60</v>
      </c>
      <c r="AX11" s="35">
        <v>6</v>
      </c>
      <c r="AY11" s="35">
        <v>40</v>
      </c>
      <c r="AZ11" s="35" t="s">
        <v>105</v>
      </c>
    </row>
    <row r="12" spans="1:52" ht="16.5" customHeight="1" x14ac:dyDescent="0.25">
      <c r="A12" s="36" t="s">
        <v>848</v>
      </c>
      <c r="B12" s="36" t="s">
        <v>847</v>
      </c>
      <c r="C12" s="35">
        <v>89</v>
      </c>
      <c r="D12" s="35">
        <v>25.7</v>
      </c>
      <c r="E12" s="35">
        <v>1.4</v>
      </c>
      <c r="F12" s="35">
        <v>8.1999999999999993</v>
      </c>
      <c r="G12" s="35">
        <v>0.14000000000000001</v>
      </c>
      <c r="H12" s="35">
        <v>0.54</v>
      </c>
      <c r="I12" s="35">
        <v>0.2</v>
      </c>
      <c r="J12" s="35">
        <v>6</v>
      </c>
      <c r="L12" s="35">
        <v>21.6</v>
      </c>
      <c r="M12" s="35">
        <v>72</v>
      </c>
      <c r="N12" s="35">
        <v>1100</v>
      </c>
      <c r="O12" s="35">
        <v>2420</v>
      </c>
      <c r="P12" s="35" t="s">
        <v>105</v>
      </c>
      <c r="Q12" s="35" t="s">
        <v>105</v>
      </c>
      <c r="S12" s="35">
        <v>0.25</v>
      </c>
      <c r="T12" s="35">
        <v>0.14000000000000001</v>
      </c>
      <c r="U12" s="35">
        <v>1.52</v>
      </c>
      <c r="V12" s="35">
        <v>0.24</v>
      </c>
      <c r="W12" s="35">
        <v>0.98</v>
      </c>
      <c r="X12" s="35">
        <v>1</v>
      </c>
      <c r="Y12" s="35">
        <v>0.6</v>
      </c>
      <c r="Z12" s="35">
        <v>1.22</v>
      </c>
      <c r="AA12" s="35">
        <v>1.6</v>
      </c>
      <c r="AB12" s="35">
        <v>2.2000000000000002</v>
      </c>
      <c r="AC12" s="35">
        <v>0.98</v>
      </c>
      <c r="AE12" s="35" t="s">
        <v>74</v>
      </c>
      <c r="AF12" s="35" t="s">
        <v>74</v>
      </c>
      <c r="AG12" s="35">
        <v>1</v>
      </c>
      <c r="AH12" s="35">
        <v>5.5</v>
      </c>
      <c r="AI12" s="35">
        <v>1.6</v>
      </c>
      <c r="AJ12" s="35">
        <v>2.7</v>
      </c>
      <c r="AK12" s="35">
        <v>90</v>
      </c>
      <c r="AL12" s="35" t="s">
        <v>105</v>
      </c>
      <c r="AM12" s="35">
        <v>1670</v>
      </c>
      <c r="AN12" s="35" t="s">
        <v>74</v>
      </c>
      <c r="AO12" s="35">
        <v>22.4</v>
      </c>
      <c r="AQ12" s="35">
        <v>0.08</v>
      </c>
      <c r="AR12" s="35">
        <v>1.2</v>
      </c>
      <c r="AS12" s="35">
        <v>0.04</v>
      </c>
      <c r="AT12" s="35">
        <v>0.13</v>
      </c>
      <c r="AU12" s="35" t="s">
        <v>105</v>
      </c>
      <c r="AV12" s="35">
        <v>8</v>
      </c>
      <c r="AW12" s="35">
        <v>65</v>
      </c>
      <c r="AX12" s="35">
        <v>4</v>
      </c>
      <c r="AY12" s="35">
        <v>42</v>
      </c>
      <c r="AZ12" s="35" t="s">
        <v>105</v>
      </c>
    </row>
    <row r="13" spans="1:52" ht="16.5" customHeight="1" x14ac:dyDescent="0.25">
      <c r="A13" s="36" t="s">
        <v>846</v>
      </c>
      <c r="B13" s="36" t="s">
        <v>845</v>
      </c>
      <c r="C13" s="35">
        <v>91</v>
      </c>
      <c r="D13" s="35">
        <v>8</v>
      </c>
      <c r="E13" s="35">
        <v>0.5</v>
      </c>
      <c r="F13" s="35">
        <v>21</v>
      </c>
      <c r="G13" s="35">
        <v>0.6</v>
      </c>
      <c r="H13" s="35">
        <v>0.1</v>
      </c>
      <c r="I13" s="35" t="s">
        <v>74</v>
      </c>
      <c r="J13" s="35">
        <v>3.8</v>
      </c>
      <c r="L13" s="35">
        <v>4.3</v>
      </c>
      <c r="M13" s="35">
        <v>68</v>
      </c>
      <c r="N13" s="35">
        <v>300</v>
      </c>
      <c r="O13" s="35">
        <v>660</v>
      </c>
      <c r="P13" s="35">
        <v>1065</v>
      </c>
      <c r="Q13" s="35">
        <v>2345</v>
      </c>
      <c r="S13" s="35">
        <v>0.01</v>
      </c>
      <c r="T13" s="35">
        <v>0.01</v>
      </c>
      <c r="U13" s="35">
        <v>0.6</v>
      </c>
      <c r="V13" s="35">
        <v>0.1</v>
      </c>
      <c r="W13" s="35">
        <v>0.4</v>
      </c>
      <c r="X13" s="35">
        <v>0.3</v>
      </c>
      <c r="Y13" s="35">
        <v>0.2</v>
      </c>
      <c r="Z13" s="35">
        <v>0.4</v>
      </c>
      <c r="AA13" s="35">
        <v>0.6</v>
      </c>
      <c r="AB13" s="35">
        <v>0.3</v>
      </c>
      <c r="AC13" s="35">
        <v>0.3</v>
      </c>
      <c r="AE13" s="35">
        <v>0</v>
      </c>
      <c r="AF13" s="35">
        <v>0.4</v>
      </c>
      <c r="AG13" s="35" t="s">
        <v>74</v>
      </c>
      <c r="AH13" s="35">
        <v>0.22</v>
      </c>
      <c r="AI13" s="35">
        <v>1.1000000000000001</v>
      </c>
      <c r="AJ13" s="35">
        <v>0.8</v>
      </c>
      <c r="AK13" s="35" t="s">
        <v>105</v>
      </c>
      <c r="AL13" s="35" t="s">
        <v>105</v>
      </c>
      <c r="AM13" s="35">
        <v>800</v>
      </c>
      <c r="AN13" s="35" t="s">
        <v>74</v>
      </c>
      <c r="AO13" s="35">
        <v>19.8</v>
      </c>
      <c r="AQ13" s="35">
        <v>0.19</v>
      </c>
      <c r="AR13" s="35">
        <v>0.21</v>
      </c>
      <c r="AS13" s="35" t="s">
        <v>105</v>
      </c>
      <c r="AT13" s="35">
        <v>0.27</v>
      </c>
      <c r="AU13" s="35">
        <v>0.2</v>
      </c>
      <c r="AV13" s="35">
        <v>35</v>
      </c>
      <c r="AW13" s="35">
        <v>300</v>
      </c>
      <c r="AX13" s="35">
        <v>13</v>
      </c>
      <c r="AY13" s="35">
        <v>1</v>
      </c>
      <c r="AZ13" s="35" t="s">
        <v>105</v>
      </c>
    </row>
    <row r="14" spans="1:52" ht="16.5" customHeight="1" x14ac:dyDescent="0.25">
      <c r="A14" s="36" t="s">
        <v>844</v>
      </c>
      <c r="B14" s="36" t="s">
        <v>843</v>
      </c>
      <c r="C14" s="35">
        <v>89</v>
      </c>
      <c r="D14" s="35">
        <v>80</v>
      </c>
      <c r="E14" s="35">
        <v>1</v>
      </c>
      <c r="F14" s="35">
        <v>1</v>
      </c>
      <c r="G14" s="35">
        <v>0.28000000000000003</v>
      </c>
      <c r="H14" s="35">
        <v>0.22</v>
      </c>
      <c r="I14" s="35">
        <v>0.22</v>
      </c>
      <c r="J14" s="35">
        <v>4.4000000000000004</v>
      </c>
      <c r="L14" s="35">
        <v>63.1</v>
      </c>
      <c r="M14" s="35">
        <v>60</v>
      </c>
      <c r="N14" s="35">
        <v>1465</v>
      </c>
      <c r="O14" s="35">
        <v>3220</v>
      </c>
      <c r="P14" s="35">
        <v>875</v>
      </c>
      <c r="Q14" s="35">
        <v>1925</v>
      </c>
      <c r="S14" s="35" t="s">
        <v>842</v>
      </c>
      <c r="T14" s="35" t="s">
        <v>841</v>
      </c>
      <c r="U14" s="35" t="s">
        <v>840</v>
      </c>
      <c r="V14" s="35">
        <v>1</v>
      </c>
      <c r="W14" s="35" t="s">
        <v>839</v>
      </c>
      <c r="X14" s="35" t="s">
        <v>838</v>
      </c>
      <c r="Y14" s="35" t="s">
        <v>837</v>
      </c>
      <c r="Z14" s="35" t="s">
        <v>836</v>
      </c>
      <c r="AA14" s="35" t="s">
        <v>835</v>
      </c>
      <c r="AB14" s="35" t="s">
        <v>834</v>
      </c>
      <c r="AC14" s="35" t="s">
        <v>833</v>
      </c>
      <c r="AE14" s="35" t="s">
        <v>74</v>
      </c>
      <c r="AF14" s="35" t="s">
        <v>74</v>
      </c>
      <c r="AG14" s="35" t="s">
        <v>74</v>
      </c>
      <c r="AH14" s="35">
        <v>0.44</v>
      </c>
      <c r="AI14" s="35">
        <v>1.5</v>
      </c>
      <c r="AJ14" s="35">
        <v>1.1000000000000001</v>
      </c>
      <c r="AK14" s="35">
        <v>80</v>
      </c>
      <c r="AL14" s="35">
        <v>80</v>
      </c>
      <c r="AM14" s="35">
        <v>990</v>
      </c>
      <c r="AN14" s="35" t="s">
        <v>74</v>
      </c>
      <c r="AO14" s="35">
        <v>31</v>
      </c>
      <c r="AQ14" s="35">
        <v>0.31</v>
      </c>
      <c r="AR14" s="35">
        <v>0.9</v>
      </c>
      <c r="AS14" s="35">
        <v>0.28000000000000003</v>
      </c>
      <c r="AT14" s="35">
        <v>0.22</v>
      </c>
      <c r="AU14" s="35">
        <v>0.32</v>
      </c>
      <c r="AV14" s="35">
        <v>5</v>
      </c>
      <c r="AW14" s="35">
        <v>2500</v>
      </c>
      <c r="AX14" s="35">
        <v>10</v>
      </c>
      <c r="AY14" s="35">
        <v>300</v>
      </c>
      <c r="AZ14" s="35" t="s">
        <v>105</v>
      </c>
    </row>
    <row r="15" spans="1:52" ht="16.5" customHeight="1" x14ac:dyDescent="0.25">
      <c r="A15" s="36" t="s">
        <v>832</v>
      </c>
      <c r="B15" s="36" t="s">
        <v>831</v>
      </c>
      <c r="C15" s="35">
        <v>93</v>
      </c>
      <c r="D15" s="35">
        <v>27.9</v>
      </c>
      <c r="E15" s="35">
        <v>7.4</v>
      </c>
      <c r="F15" s="35">
        <v>11.7</v>
      </c>
      <c r="G15" s="35">
        <v>0.3</v>
      </c>
      <c r="H15" s="35">
        <v>0.66</v>
      </c>
      <c r="I15" s="35">
        <v>0.2</v>
      </c>
      <c r="J15" s="35">
        <v>4.8</v>
      </c>
      <c r="L15" s="35">
        <v>19.100000000000001</v>
      </c>
      <c r="M15" s="35">
        <v>73</v>
      </c>
      <c r="N15" s="35">
        <v>1020</v>
      </c>
      <c r="O15" s="35">
        <v>2245</v>
      </c>
      <c r="P15" s="35">
        <v>850</v>
      </c>
      <c r="Q15" s="35">
        <v>1870</v>
      </c>
      <c r="S15" s="35">
        <v>0.6</v>
      </c>
      <c r="T15" s="35">
        <v>0.4</v>
      </c>
      <c r="U15" s="35">
        <v>0.9</v>
      </c>
      <c r="V15" s="35">
        <v>0.4</v>
      </c>
      <c r="W15" s="35">
        <v>1</v>
      </c>
      <c r="X15" s="35">
        <v>2</v>
      </c>
      <c r="Y15" s="35">
        <v>0.47</v>
      </c>
      <c r="Z15" s="35">
        <v>1.69</v>
      </c>
      <c r="AA15" s="35">
        <v>3.2</v>
      </c>
      <c r="AB15" s="35">
        <v>1.3</v>
      </c>
      <c r="AC15" s="35">
        <v>1.82</v>
      </c>
      <c r="AE15" s="35" t="s">
        <v>74</v>
      </c>
      <c r="AF15" s="35" t="s">
        <v>74</v>
      </c>
      <c r="AG15" s="35">
        <v>65.099999999999994</v>
      </c>
      <c r="AH15" s="35">
        <v>0.7</v>
      </c>
      <c r="AI15" s="35">
        <v>1.5</v>
      </c>
      <c r="AJ15" s="35">
        <v>8.6</v>
      </c>
      <c r="AK15" s="35">
        <v>80</v>
      </c>
      <c r="AL15" s="35">
        <v>220</v>
      </c>
      <c r="AM15" s="35">
        <v>2110</v>
      </c>
      <c r="AN15" s="35">
        <v>4</v>
      </c>
      <c r="AO15" s="35">
        <v>46.4</v>
      </c>
      <c r="AQ15" s="35">
        <v>0.26</v>
      </c>
      <c r="AR15" s="35">
        <v>0.08</v>
      </c>
      <c r="AS15" s="35">
        <v>0.12</v>
      </c>
      <c r="AT15" s="35">
        <v>0.19</v>
      </c>
      <c r="AU15" s="35">
        <v>0.3</v>
      </c>
      <c r="AV15" s="35">
        <v>38</v>
      </c>
      <c r="AW15" s="35">
        <v>290</v>
      </c>
      <c r="AX15" s="35">
        <v>21</v>
      </c>
      <c r="AY15" s="35">
        <v>100</v>
      </c>
      <c r="AZ15" s="35">
        <v>0.7</v>
      </c>
    </row>
    <row r="16" spans="1:52" ht="16.5" customHeight="1" x14ac:dyDescent="0.25">
      <c r="A16" s="36" t="s">
        <v>830</v>
      </c>
      <c r="B16" s="36" t="s">
        <v>829</v>
      </c>
      <c r="C16" s="35">
        <v>93</v>
      </c>
      <c r="D16" s="35">
        <v>45</v>
      </c>
      <c r="E16" s="35">
        <v>0.4</v>
      </c>
      <c r="F16" s="35">
        <v>1.5</v>
      </c>
      <c r="G16" s="35">
        <v>0.1</v>
      </c>
      <c r="H16" s="35">
        <v>1.4</v>
      </c>
      <c r="I16" s="35">
        <v>0.45</v>
      </c>
      <c r="J16" s="35">
        <v>6.5</v>
      </c>
      <c r="L16" s="35">
        <v>41.6</v>
      </c>
      <c r="M16" s="35">
        <v>73</v>
      </c>
      <c r="N16" s="35">
        <v>1130</v>
      </c>
      <c r="O16" s="35">
        <v>2485</v>
      </c>
      <c r="P16" s="35">
        <v>1205</v>
      </c>
      <c r="Q16" s="35">
        <v>2650</v>
      </c>
      <c r="S16" s="35">
        <v>1</v>
      </c>
      <c r="T16" s="35">
        <v>0.5</v>
      </c>
      <c r="U16" s="35">
        <v>3.4</v>
      </c>
      <c r="V16" s="35">
        <v>0.8</v>
      </c>
      <c r="W16" s="35">
        <v>2.5</v>
      </c>
      <c r="X16" s="35">
        <v>2.2000000000000002</v>
      </c>
      <c r="Y16" s="35">
        <v>1.3</v>
      </c>
      <c r="Z16" s="35">
        <v>2.37</v>
      </c>
      <c r="AA16" s="35">
        <v>3.2</v>
      </c>
      <c r="AB16" s="35">
        <v>2.2000000000000002</v>
      </c>
      <c r="AC16" s="35">
        <v>1.86</v>
      </c>
      <c r="AE16" s="35" t="s">
        <v>74</v>
      </c>
      <c r="AF16" s="35" t="s">
        <v>74</v>
      </c>
      <c r="AG16" s="35">
        <v>2.2000000000000002</v>
      </c>
      <c r="AH16" s="35">
        <v>94.6</v>
      </c>
      <c r="AI16" s="35">
        <v>38.5</v>
      </c>
      <c r="AJ16" s="35">
        <v>114</v>
      </c>
      <c r="AK16" s="35">
        <v>5000</v>
      </c>
      <c r="AL16" s="35">
        <v>9000</v>
      </c>
      <c r="AM16" s="35">
        <v>4800</v>
      </c>
      <c r="AN16" s="35" t="s">
        <v>74</v>
      </c>
      <c r="AO16" s="35">
        <v>479</v>
      </c>
      <c r="AQ16" s="35">
        <v>7.0000000000000007E-2</v>
      </c>
      <c r="AR16" s="35">
        <v>1.72</v>
      </c>
      <c r="AS16" s="35" t="s">
        <v>105</v>
      </c>
      <c r="AT16" s="35">
        <v>0.23</v>
      </c>
      <c r="AU16" s="35" t="s">
        <v>105</v>
      </c>
      <c r="AV16" s="35">
        <v>6</v>
      </c>
      <c r="AW16" s="35">
        <v>100</v>
      </c>
      <c r="AX16" s="35">
        <v>33</v>
      </c>
      <c r="AY16" s="35">
        <v>39</v>
      </c>
      <c r="AZ16" s="35" t="s">
        <v>828</v>
      </c>
    </row>
    <row r="17" spans="1:52" ht="16.5" customHeight="1" x14ac:dyDescent="0.25">
      <c r="A17" s="36" t="s">
        <v>827</v>
      </c>
      <c r="B17" s="36" t="s">
        <v>826</v>
      </c>
      <c r="C17" s="35">
        <v>88</v>
      </c>
      <c r="D17" s="35">
        <v>11</v>
      </c>
      <c r="E17" s="35">
        <v>2.5</v>
      </c>
      <c r="F17" s="35">
        <v>11</v>
      </c>
      <c r="G17" s="35">
        <v>0.1</v>
      </c>
      <c r="H17" s="35">
        <v>0.3</v>
      </c>
      <c r="I17" s="35">
        <v>0.1</v>
      </c>
      <c r="J17" s="35">
        <v>2.1</v>
      </c>
      <c r="L17" s="35">
        <v>7.6</v>
      </c>
      <c r="M17" s="35">
        <v>69</v>
      </c>
      <c r="N17" s="35">
        <v>1200</v>
      </c>
      <c r="O17" s="35">
        <v>2640</v>
      </c>
      <c r="P17" s="35">
        <v>1285</v>
      </c>
      <c r="Q17" s="35">
        <v>2830</v>
      </c>
      <c r="S17" s="35">
        <v>0.18</v>
      </c>
      <c r="T17" s="35">
        <v>0.2</v>
      </c>
      <c r="U17" s="35">
        <v>0.6</v>
      </c>
      <c r="V17" s="35">
        <v>0.18</v>
      </c>
      <c r="W17" s="35">
        <v>0.44</v>
      </c>
      <c r="X17" s="35">
        <v>0.35</v>
      </c>
      <c r="Y17" s="35">
        <v>0.26</v>
      </c>
      <c r="Z17" s="35">
        <v>0.53</v>
      </c>
      <c r="AA17" s="35">
        <v>0.53</v>
      </c>
      <c r="AB17" s="35">
        <v>0.8</v>
      </c>
      <c r="AC17" s="35">
        <v>0.44</v>
      </c>
      <c r="AE17" s="35" t="s">
        <v>74</v>
      </c>
      <c r="AF17" s="35" t="s">
        <v>74</v>
      </c>
      <c r="AG17" s="35" t="s">
        <v>74</v>
      </c>
      <c r="AH17" s="35">
        <v>3.3</v>
      </c>
      <c r="AI17" s="35">
        <v>10.6</v>
      </c>
      <c r="AJ17" s="35">
        <v>11</v>
      </c>
      <c r="AK17" s="35" t="s">
        <v>105</v>
      </c>
      <c r="AL17" s="35" t="s">
        <v>105</v>
      </c>
      <c r="AM17" s="35">
        <v>440</v>
      </c>
      <c r="AN17" s="35" t="s">
        <v>74</v>
      </c>
      <c r="AO17" s="35">
        <v>18</v>
      </c>
      <c r="AQ17" s="35">
        <v>0.05</v>
      </c>
      <c r="AR17" s="35">
        <v>0.45</v>
      </c>
      <c r="AS17" s="35">
        <v>0.04</v>
      </c>
      <c r="AT17" s="35">
        <v>0.1</v>
      </c>
      <c r="AU17" s="35" t="s">
        <v>74</v>
      </c>
      <c r="AV17" s="35">
        <v>34</v>
      </c>
      <c r="AW17" s="35">
        <v>44</v>
      </c>
      <c r="AX17" s="35">
        <v>10</v>
      </c>
      <c r="AY17" s="35">
        <v>9</v>
      </c>
      <c r="AZ17" s="35" t="s">
        <v>105</v>
      </c>
    </row>
    <row r="18" spans="1:52" ht="16.5" customHeight="1" x14ac:dyDescent="0.25">
      <c r="A18" s="36" t="s">
        <v>825</v>
      </c>
      <c r="B18" s="36" t="s">
        <v>824</v>
      </c>
      <c r="C18" s="35">
        <v>89</v>
      </c>
      <c r="D18" s="35">
        <v>2</v>
      </c>
      <c r="E18" s="35">
        <v>5</v>
      </c>
      <c r="F18" s="35">
        <v>0.3</v>
      </c>
      <c r="G18" s="35">
        <v>1.3</v>
      </c>
      <c r="H18" s="35">
        <v>0.9</v>
      </c>
      <c r="I18" s="35">
        <v>0.9</v>
      </c>
      <c r="J18" s="35">
        <v>10</v>
      </c>
      <c r="L18" s="35">
        <v>25.3</v>
      </c>
      <c r="M18" s="35">
        <v>84</v>
      </c>
      <c r="N18" s="35">
        <v>1250</v>
      </c>
      <c r="O18" s="35">
        <v>2750</v>
      </c>
      <c r="P18" s="35">
        <v>1370</v>
      </c>
      <c r="Q18" s="35">
        <v>3010</v>
      </c>
      <c r="S18" s="35">
        <v>0.7</v>
      </c>
      <c r="T18" s="35">
        <v>0.38</v>
      </c>
      <c r="U18" s="35">
        <v>2.4</v>
      </c>
      <c r="V18" s="35">
        <v>0.5</v>
      </c>
      <c r="W18" s="35">
        <v>1.6</v>
      </c>
      <c r="X18" s="35">
        <v>2.7</v>
      </c>
      <c r="Y18" s="35">
        <v>0.9</v>
      </c>
      <c r="Z18" s="35">
        <v>2.8</v>
      </c>
      <c r="AA18" s="35">
        <v>3.4</v>
      </c>
      <c r="AB18" s="35">
        <v>1.1000000000000001</v>
      </c>
      <c r="AC18" s="35">
        <v>1.5</v>
      </c>
      <c r="AE18" s="35" t="s">
        <v>74</v>
      </c>
      <c r="AF18" s="35" t="s">
        <v>74</v>
      </c>
      <c r="AG18" s="35" t="s">
        <v>74</v>
      </c>
      <c r="AH18" s="35">
        <v>3.7</v>
      </c>
      <c r="AI18" s="35">
        <v>31</v>
      </c>
      <c r="AJ18" s="35">
        <v>29.7</v>
      </c>
      <c r="AK18" s="35">
        <v>290</v>
      </c>
      <c r="AL18" s="35">
        <v>400</v>
      </c>
      <c r="AM18" s="35">
        <v>1808</v>
      </c>
      <c r="AN18" s="35">
        <v>20</v>
      </c>
      <c r="AO18" s="35">
        <v>8.6</v>
      </c>
      <c r="AQ18" s="35">
        <v>0.95</v>
      </c>
      <c r="AR18" s="35">
        <v>1</v>
      </c>
      <c r="AS18" s="35">
        <v>0.7</v>
      </c>
      <c r="AT18" s="35">
        <v>0.48</v>
      </c>
      <c r="AU18" s="35">
        <v>0.08</v>
      </c>
      <c r="AV18" s="35">
        <v>4</v>
      </c>
      <c r="AW18" s="35" t="s">
        <v>105</v>
      </c>
      <c r="AX18" s="35" t="s">
        <v>105</v>
      </c>
      <c r="AY18" s="35" t="s">
        <v>105</v>
      </c>
      <c r="AZ18" s="35">
        <v>0.12</v>
      </c>
    </row>
    <row r="19" spans="1:52" ht="16.5" customHeight="1" x14ac:dyDescent="0.25">
      <c r="A19" s="36" t="s">
        <v>823</v>
      </c>
      <c r="B19" s="36" t="s">
        <v>822</v>
      </c>
      <c r="C19" s="35">
        <v>90</v>
      </c>
      <c r="D19" s="35">
        <v>33.9</v>
      </c>
      <c r="E19" s="35">
        <v>12</v>
      </c>
      <c r="F19" s="35">
        <v>12.4</v>
      </c>
      <c r="G19" s="35">
        <v>0.33</v>
      </c>
      <c r="H19" s="35">
        <v>0.94</v>
      </c>
      <c r="I19" s="35" t="s">
        <v>74</v>
      </c>
      <c r="J19" s="35">
        <v>5.8</v>
      </c>
      <c r="L19" s="35" t="s">
        <v>74</v>
      </c>
      <c r="M19" s="35" t="s">
        <v>74</v>
      </c>
      <c r="N19" s="35">
        <v>1510</v>
      </c>
      <c r="O19" s="35">
        <v>3328</v>
      </c>
      <c r="P19" s="35" t="s">
        <v>105</v>
      </c>
      <c r="Q19" s="35" t="s">
        <v>105</v>
      </c>
      <c r="S19" s="35" t="s">
        <v>821</v>
      </c>
      <c r="T19" s="35" t="s">
        <v>820</v>
      </c>
      <c r="U19" s="35" t="s">
        <v>819</v>
      </c>
      <c r="V19" s="35" t="s">
        <v>818</v>
      </c>
      <c r="W19" s="35" t="s">
        <v>817</v>
      </c>
      <c r="X19" s="35" t="s">
        <v>816</v>
      </c>
      <c r="Y19" s="35" t="s">
        <v>815</v>
      </c>
      <c r="Z19" s="35" t="s">
        <v>814</v>
      </c>
      <c r="AA19" s="35" t="s">
        <v>813</v>
      </c>
      <c r="AB19" s="35" t="s">
        <v>812</v>
      </c>
      <c r="AC19" s="35" t="s">
        <v>811</v>
      </c>
      <c r="AE19" s="35" t="s">
        <v>74</v>
      </c>
      <c r="AF19" s="35" t="s">
        <v>74</v>
      </c>
      <c r="AG19" s="35" t="s">
        <v>74</v>
      </c>
      <c r="AH19" s="35" t="s">
        <v>74</v>
      </c>
      <c r="AI19" s="35" t="s">
        <v>74</v>
      </c>
      <c r="AJ19" s="35" t="s">
        <v>74</v>
      </c>
      <c r="AK19" s="35" t="s">
        <v>74</v>
      </c>
      <c r="AL19" s="35" t="s">
        <v>74</v>
      </c>
      <c r="AM19" s="35" t="s">
        <v>74</v>
      </c>
      <c r="AN19" s="35" t="s">
        <v>74</v>
      </c>
      <c r="AO19" s="35" t="s">
        <v>74</v>
      </c>
      <c r="AQ19" s="35">
        <v>0.1</v>
      </c>
      <c r="AR19" s="35">
        <v>1.24</v>
      </c>
      <c r="AS19" s="35" t="s">
        <v>74</v>
      </c>
      <c r="AT19" s="35">
        <v>0.4</v>
      </c>
      <c r="AU19" s="35" t="s">
        <v>74</v>
      </c>
      <c r="AV19" s="35">
        <v>45</v>
      </c>
      <c r="AW19" s="35" t="s">
        <v>105</v>
      </c>
      <c r="AX19" s="35">
        <v>9</v>
      </c>
      <c r="AY19" s="35">
        <v>85</v>
      </c>
      <c r="AZ19" s="35" t="s">
        <v>74</v>
      </c>
    </row>
    <row r="20" spans="1:52" ht="16.5" customHeight="1" x14ac:dyDescent="0.25">
      <c r="A20" s="36" t="s">
        <v>810</v>
      </c>
      <c r="B20" s="36" t="s">
        <v>809</v>
      </c>
      <c r="C20" s="35">
        <v>91</v>
      </c>
      <c r="D20" s="35">
        <v>38</v>
      </c>
      <c r="E20" s="35">
        <v>3.8</v>
      </c>
      <c r="F20" s="35">
        <v>11.1</v>
      </c>
      <c r="G20" s="35">
        <v>0.68</v>
      </c>
      <c r="H20" s="35">
        <v>1.2</v>
      </c>
      <c r="I20" s="35">
        <v>0.4</v>
      </c>
      <c r="J20" s="35">
        <v>7.2</v>
      </c>
      <c r="L20" s="35">
        <v>32</v>
      </c>
      <c r="M20" s="35">
        <v>64</v>
      </c>
      <c r="N20" s="35">
        <v>960</v>
      </c>
      <c r="O20" s="35">
        <v>2110</v>
      </c>
      <c r="P20" s="35">
        <v>1180</v>
      </c>
      <c r="Q20" s="35">
        <v>2600</v>
      </c>
      <c r="S20" s="35" t="s">
        <v>808</v>
      </c>
      <c r="T20" s="35" t="s">
        <v>807</v>
      </c>
      <c r="U20" s="35" t="s">
        <v>806</v>
      </c>
      <c r="V20" s="35" t="s">
        <v>805</v>
      </c>
      <c r="W20" s="35" t="s">
        <v>804</v>
      </c>
      <c r="X20" s="35" t="s">
        <v>803</v>
      </c>
      <c r="Y20" s="35" t="s">
        <v>802</v>
      </c>
      <c r="Z20" s="35" t="s">
        <v>801</v>
      </c>
      <c r="AA20" s="35" t="s">
        <v>800</v>
      </c>
      <c r="AB20" s="35" t="s">
        <v>799</v>
      </c>
      <c r="AC20" s="35" t="s">
        <v>798</v>
      </c>
      <c r="AE20" s="35" t="s">
        <v>74</v>
      </c>
      <c r="AF20" s="35" t="s">
        <v>74</v>
      </c>
      <c r="AG20" s="35" t="s">
        <v>74</v>
      </c>
      <c r="AH20" s="35">
        <v>5.2</v>
      </c>
      <c r="AI20" s="35">
        <v>3.7</v>
      </c>
      <c r="AJ20" s="35">
        <v>9.5</v>
      </c>
      <c r="AK20" s="35">
        <v>900</v>
      </c>
      <c r="AL20" s="35">
        <v>2300</v>
      </c>
      <c r="AM20" s="35">
        <v>6700</v>
      </c>
      <c r="AN20" s="35" t="s">
        <v>74</v>
      </c>
      <c r="AO20" s="35">
        <v>159.5</v>
      </c>
      <c r="AQ20" s="35" t="s">
        <v>74</v>
      </c>
      <c r="AR20" s="35">
        <v>1.29</v>
      </c>
      <c r="AS20" s="35" t="s">
        <v>105</v>
      </c>
      <c r="AT20" s="35">
        <v>0.6</v>
      </c>
      <c r="AU20" s="35">
        <v>1</v>
      </c>
      <c r="AV20" s="35">
        <v>54</v>
      </c>
      <c r="AW20" s="35">
        <v>175</v>
      </c>
      <c r="AX20" s="35">
        <v>8</v>
      </c>
      <c r="AY20" s="35">
        <v>65</v>
      </c>
      <c r="AZ20" s="35">
        <v>1</v>
      </c>
    </row>
    <row r="21" spans="1:52" ht="16.5" customHeight="1" x14ac:dyDescent="0.25">
      <c r="A21" s="36" t="s">
        <v>797</v>
      </c>
      <c r="B21" s="36" t="s">
        <v>796</v>
      </c>
      <c r="C21" s="35">
        <v>90</v>
      </c>
      <c r="D21" s="35">
        <v>80</v>
      </c>
      <c r="E21" s="35">
        <v>0.5</v>
      </c>
      <c r="F21" s="35">
        <v>0.2</v>
      </c>
      <c r="G21" s="35">
        <v>0.6</v>
      </c>
      <c r="H21" s="35">
        <v>1</v>
      </c>
      <c r="I21" s="35">
        <v>1</v>
      </c>
      <c r="J21" s="35">
        <v>3.5</v>
      </c>
      <c r="L21" s="35">
        <v>76</v>
      </c>
      <c r="M21" s="35">
        <v>74</v>
      </c>
      <c r="N21" s="35">
        <v>1875</v>
      </c>
      <c r="O21" s="35">
        <v>4120</v>
      </c>
      <c r="P21" s="35">
        <v>1245</v>
      </c>
      <c r="Q21" s="35">
        <v>2740</v>
      </c>
      <c r="S21" s="35" t="s">
        <v>795</v>
      </c>
      <c r="T21" s="35" t="s">
        <v>794</v>
      </c>
      <c r="U21" s="35" t="s">
        <v>793</v>
      </c>
      <c r="V21" s="35">
        <v>1</v>
      </c>
      <c r="W21" s="35" t="s">
        <v>792</v>
      </c>
      <c r="X21" s="35" t="s">
        <v>791</v>
      </c>
      <c r="Y21" s="35" t="s">
        <v>790</v>
      </c>
      <c r="Z21" s="35" t="s">
        <v>789</v>
      </c>
      <c r="AA21" s="35" t="s">
        <v>788</v>
      </c>
      <c r="AB21" s="35" t="s">
        <v>787</v>
      </c>
      <c r="AC21" s="35" t="s">
        <v>786</v>
      </c>
      <c r="AE21" s="35" t="s">
        <v>74</v>
      </c>
      <c r="AF21" s="35" t="s">
        <v>74</v>
      </c>
      <c r="AG21" s="35" t="s">
        <v>74</v>
      </c>
      <c r="AH21" s="35">
        <v>0.4</v>
      </c>
      <c r="AI21" s="35">
        <v>1.5</v>
      </c>
      <c r="AJ21" s="35">
        <v>2.6</v>
      </c>
      <c r="AK21" s="35">
        <v>40</v>
      </c>
      <c r="AL21" s="35">
        <v>400</v>
      </c>
      <c r="AM21" s="35">
        <v>209</v>
      </c>
      <c r="AN21" s="35" t="s">
        <v>74</v>
      </c>
      <c r="AO21" s="35">
        <v>1.3</v>
      </c>
      <c r="AQ21" s="35">
        <v>0.01</v>
      </c>
      <c r="AR21" s="35" t="s">
        <v>105</v>
      </c>
      <c r="AS21" s="35" t="s">
        <v>105</v>
      </c>
      <c r="AT21" s="35" t="s">
        <v>105</v>
      </c>
      <c r="AU21" s="35" t="s">
        <v>105</v>
      </c>
      <c r="AV21" s="35">
        <v>4</v>
      </c>
      <c r="AW21" s="35">
        <v>17</v>
      </c>
      <c r="AX21" s="35">
        <v>4</v>
      </c>
      <c r="AY21" s="35">
        <v>30</v>
      </c>
      <c r="AZ21" s="35" t="s">
        <v>105</v>
      </c>
    </row>
    <row r="22" spans="1:52" ht="16.5" customHeight="1" x14ac:dyDescent="0.25">
      <c r="A22" s="36" t="s">
        <v>785</v>
      </c>
      <c r="B22" s="36" t="s">
        <v>784</v>
      </c>
      <c r="C22" s="35">
        <v>87</v>
      </c>
      <c r="D22" s="35">
        <v>2.4</v>
      </c>
      <c r="E22" s="35">
        <v>0.3</v>
      </c>
      <c r="F22" s="35">
        <v>7.6</v>
      </c>
      <c r="G22" s="35">
        <v>0.15</v>
      </c>
      <c r="H22" s="35">
        <v>0.08</v>
      </c>
      <c r="I22" s="35" t="s">
        <v>74</v>
      </c>
      <c r="J22" s="35">
        <v>3</v>
      </c>
      <c r="L22" s="35" t="s">
        <v>74</v>
      </c>
      <c r="M22" s="35">
        <v>68</v>
      </c>
      <c r="N22" s="35">
        <v>1325</v>
      </c>
      <c r="O22" s="35">
        <v>2915</v>
      </c>
      <c r="P22" s="35">
        <v>1510</v>
      </c>
      <c r="Q22" s="35">
        <v>3320</v>
      </c>
      <c r="S22" s="35" t="s">
        <v>74</v>
      </c>
      <c r="T22" s="35" t="s">
        <v>74</v>
      </c>
      <c r="U22" s="35" t="s">
        <v>74</v>
      </c>
      <c r="V22" s="35" t="s">
        <v>74</v>
      </c>
      <c r="W22" s="35" t="s">
        <v>74</v>
      </c>
      <c r="X22" s="35" t="s">
        <v>74</v>
      </c>
      <c r="Y22" s="35" t="s">
        <v>74</v>
      </c>
      <c r="Z22" s="35" t="s">
        <v>74</v>
      </c>
      <c r="AA22" s="35" t="s">
        <v>105</v>
      </c>
      <c r="AB22" s="35" t="s">
        <v>74</v>
      </c>
      <c r="AC22" s="35" t="s">
        <v>74</v>
      </c>
      <c r="AE22" s="35" t="s">
        <v>74</v>
      </c>
      <c r="AF22" s="35" t="s">
        <v>74</v>
      </c>
      <c r="AG22" s="35" t="s">
        <v>74</v>
      </c>
      <c r="AH22" s="35" t="s">
        <v>74</v>
      </c>
      <c r="AI22" s="35" t="s">
        <v>74</v>
      </c>
      <c r="AJ22" s="35" t="s">
        <v>74</v>
      </c>
      <c r="AK22" s="35" t="s">
        <v>74</v>
      </c>
      <c r="AL22" s="35" t="s">
        <v>74</v>
      </c>
      <c r="AM22" s="35" t="s">
        <v>74</v>
      </c>
      <c r="AN22" s="35" t="s">
        <v>74</v>
      </c>
      <c r="AO22" s="35" t="s">
        <v>74</v>
      </c>
      <c r="AQ22" s="35" t="s">
        <v>105</v>
      </c>
      <c r="AR22" s="35">
        <v>0.23</v>
      </c>
      <c r="AS22" s="35" t="s">
        <v>105</v>
      </c>
      <c r="AT22" s="35" t="s">
        <v>105</v>
      </c>
      <c r="AU22" s="35" t="s">
        <v>105</v>
      </c>
      <c r="AV22" s="35" t="s">
        <v>105</v>
      </c>
      <c r="AW22" s="35" t="s">
        <v>105</v>
      </c>
      <c r="AX22" s="35" t="s">
        <v>105</v>
      </c>
      <c r="AY22" s="35" t="s">
        <v>105</v>
      </c>
      <c r="AZ22" s="35" t="s">
        <v>105</v>
      </c>
    </row>
    <row r="23" spans="1:52" ht="16.5" customHeight="1" x14ac:dyDescent="0.25">
      <c r="A23" s="36" t="s">
        <v>783</v>
      </c>
      <c r="B23" s="36" t="s">
        <v>782</v>
      </c>
      <c r="C23" s="35">
        <v>90</v>
      </c>
      <c r="D23" s="35">
        <v>16.600000000000001</v>
      </c>
      <c r="E23" s="35" t="s">
        <v>74</v>
      </c>
      <c r="F23" s="35" t="s">
        <v>74</v>
      </c>
      <c r="G23" s="35">
        <v>1.6</v>
      </c>
      <c r="H23" s="35">
        <v>0.75</v>
      </c>
      <c r="I23" s="35" t="s">
        <v>74</v>
      </c>
      <c r="J23" s="35">
        <v>7.6</v>
      </c>
      <c r="L23" s="35" t="s">
        <v>105</v>
      </c>
      <c r="M23" s="35" t="s">
        <v>105</v>
      </c>
      <c r="N23" s="35" t="s">
        <v>105</v>
      </c>
      <c r="O23" s="35" t="s">
        <v>105</v>
      </c>
      <c r="P23" s="35" t="s">
        <v>105</v>
      </c>
      <c r="Q23" s="35" t="s">
        <v>105</v>
      </c>
      <c r="S23" s="35">
        <v>0.06</v>
      </c>
      <c r="T23" s="35" t="s">
        <v>74</v>
      </c>
      <c r="U23" s="35">
        <v>0.33</v>
      </c>
      <c r="V23" s="35" t="s">
        <v>105</v>
      </c>
      <c r="W23" s="35">
        <v>0.21</v>
      </c>
      <c r="X23" s="35">
        <v>0.21</v>
      </c>
      <c r="Y23" s="35">
        <v>0.09</v>
      </c>
      <c r="Z23" s="35">
        <v>0.28999999999999998</v>
      </c>
      <c r="AA23" s="35" t="s">
        <v>105</v>
      </c>
      <c r="AB23" s="35">
        <v>0.14000000000000001</v>
      </c>
      <c r="AC23" s="35">
        <v>0.06</v>
      </c>
      <c r="AE23" s="35" t="s">
        <v>74</v>
      </c>
      <c r="AF23" s="35" t="s">
        <v>74</v>
      </c>
      <c r="AG23" s="35" t="s">
        <v>74</v>
      </c>
      <c r="AH23" s="35" t="s">
        <v>74</v>
      </c>
      <c r="AI23" s="35" t="s">
        <v>74</v>
      </c>
      <c r="AJ23" s="35" t="s">
        <v>105</v>
      </c>
      <c r="AK23" s="35" t="s">
        <v>105</v>
      </c>
      <c r="AL23" s="35" t="s">
        <v>105</v>
      </c>
      <c r="AM23" s="35" t="s">
        <v>105</v>
      </c>
      <c r="AN23" s="35" t="s">
        <v>74</v>
      </c>
      <c r="AO23" s="35" t="s">
        <v>105</v>
      </c>
      <c r="AQ23" s="35">
        <v>0.36</v>
      </c>
      <c r="AR23" s="35">
        <v>0.72</v>
      </c>
      <c r="AS23" s="35" t="s">
        <v>105</v>
      </c>
      <c r="AT23" s="35">
        <v>0.27</v>
      </c>
      <c r="AU23" s="35" t="s">
        <v>105</v>
      </c>
      <c r="AV23" s="35">
        <v>88</v>
      </c>
      <c r="AW23" s="35">
        <v>80</v>
      </c>
      <c r="AX23" s="35">
        <v>15</v>
      </c>
      <c r="AY23" s="35">
        <v>111</v>
      </c>
      <c r="AZ23" s="35" t="s">
        <v>105</v>
      </c>
    </row>
    <row r="24" spans="1:52" ht="16.5" customHeight="1" x14ac:dyDescent="0.25">
      <c r="A24" s="36" t="s">
        <v>781</v>
      </c>
      <c r="B24" s="36" t="s">
        <v>780</v>
      </c>
      <c r="C24" s="35">
        <v>91</v>
      </c>
      <c r="D24" s="35">
        <v>6</v>
      </c>
      <c r="E24" s="35">
        <v>3.7</v>
      </c>
      <c r="F24" s="35">
        <v>12.2</v>
      </c>
      <c r="G24" s="35">
        <v>1.4</v>
      </c>
      <c r="H24" s="35">
        <v>0.1</v>
      </c>
      <c r="I24" s="35" t="s">
        <v>74</v>
      </c>
      <c r="J24" s="35">
        <v>4.5999999999999996</v>
      </c>
      <c r="L24" s="35">
        <v>3</v>
      </c>
      <c r="M24" s="35">
        <v>74</v>
      </c>
      <c r="N24" s="35">
        <v>600</v>
      </c>
      <c r="O24" s="35">
        <v>1320</v>
      </c>
      <c r="P24" s="35">
        <v>850</v>
      </c>
      <c r="Q24" s="35">
        <v>1875</v>
      </c>
      <c r="S24" s="35">
        <v>0.08</v>
      </c>
      <c r="T24" s="35">
        <v>0.11</v>
      </c>
      <c r="U24" s="35">
        <v>0.2</v>
      </c>
      <c r="V24" s="35">
        <v>0.06</v>
      </c>
      <c r="W24" s="35" t="s">
        <v>105</v>
      </c>
      <c r="X24" s="35" t="s">
        <v>105</v>
      </c>
      <c r="Y24" s="35" t="s">
        <v>105</v>
      </c>
      <c r="Z24" s="35" t="s">
        <v>105</v>
      </c>
      <c r="AA24" s="35" t="s">
        <v>105</v>
      </c>
      <c r="AB24" s="35">
        <v>0.28000000000000003</v>
      </c>
      <c r="AC24" s="35" t="s">
        <v>105</v>
      </c>
      <c r="AE24" s="35" t="s">
        <v>74</v>
      </c>
      <c r="AF24" s="35" t="s">
        <v>74</v>
      </c>
      <c r="AG24" s="35" t="s">
        <v>74</v>
      </c>
      <c r="AH24" s="35">
        <v>1.32</v>
      </c>
      <c r="AI24" s="35">
        <v>2.2000000000000002</v>
      </c>
      <c r="AJ24" s="35">
        <v>14</v>
      </c>
      <c r="AK24" s="35" t="s">
        <v>105</v>
      </c>
      <c r="AL24" s="35" t="s">
        <v>105</v>
      </c>
      <c r="AM24" s="35">
        <v>748</v>
      </c>
      <c r="AN24" s="35" t="s">
        <v>74</v>
      </c>
      <c r="AO24" s="35">
        <v>22.5</v>
      </c>
      <c r="AQ24" s="35">
        <v>0.1</v>
      </c>
      <c r="AR24" s="35">
        <v>1</v>
      </c>
      <c r="AS24" s="35" t="s">
        <v>105</v>
      </c>
      <c r="AT24" s="35">
        <v>0.12</v>
      </c>
      <c r="AU24" s="35">
        <v>7.0000000000000007E-2</v>
      </c>
      <c r="AV24" s="35">
        <v>6</v>
      </c>
      <c r="AW24" s="35">
        <v>100</v>
      </c>
      <c r="AX24" s="35">
        <v>6</v>
      </c>
      <c r="AY24" s="35">
        <v>10</v>
      </c>
      <c r="AZ24" s="35" t="s">
        <v>105</v>
      </c>
    </row>
    <row r="25" spans="1:52" ht="16.5" customHeight="1" x14ac:dyDescent="0.25">
      <c r="A25" s="36" t="s">
        <v>779</v>
      </c>
      <c r="B25" s="36" t="s">
        <v>778</v>
      </c>
      <c r="C25" s="35">
        <v>93</v>
      </c>
      <c r="D25" s="35">
        <v>22</v>
      </c>
      <c r="E25" s="35">
        <v>6</v>
      </c>
      <c r="F25" s="35">
        <v>12</v>
      </c>
      <c r="G25" s="35">
        <v>0.17</v>
      </c>
      <c r="H25" s="35">
        <v>0.6</v>
      </c>
      <c r="I25" s="35" t="s">
        <v>74</v>
      </c>
      <c r="J25" s="35">
        <v>7</v>
      </c>
      <c r="L25" s="35">
        <v>18</v>
      </c>
      <c r="M25" s="35">
        <v>77</v>
      </c>
      <c r="N25" s="35">
        <v>690</v>
      </c>
      <c r="O25" s="35">
        <v>1520</v>
      </c>
      <c r="P25" s="35">
        <v>1135</v>
      </c>
      <c r="Q25" s="35">
        <v>2500</v>
      </c>
      <c r="S25" s="35" t="s">
        <v>777</v>
      </c>
      <c r="T25" s="35" t="s">
        <v>776</v>
      </c>
      <c r="U25" s="35" t="s">
        <v>775</v>
      </c>
      <c r="V25" s="35">
        <v>0.2</v>
      </c>
      <c r="W25" s="35" t="s">
        <v>774</v>
      </c>
      <c r="X25" s="35" t="s">
        <v>772</v>
      </c>
      <c r="Y25" s="35" t="s">
        <v>773</v>
      </c>
      <c r="Z25" s="35" t="s">
        <v>772</v>
      </c>
      <c r="AA25" s="35" t="s">
        <v>771</v>
      </c>
      <c r="AB25" s="35" t="s">
        <v>770</v>
      </c>
      <c r="AC25" s="35" t="s">
        <v>769</v>
      </c>
      <c r="AE25" s="35" t="s">
        <v>74</v>
      </c>
      <c r="AF25" s="35" t="s">
        <v>74</v>
      </c>
      <c r="AG25" s="35" t="s">
        <v>74</v>
      </c>
      <c r="AH25" s="35">
        <v>0.66</v>
      </c>
      <c r="AI25" s="35">
        <v>3.3</v>
      </c>
      <c r="AJ25" s="35">
        <v>6.1</v>
      </c>
      <c r="AK25" s="35" t="s">
        <v>105</v>
      </c>
      <c r="AL25" s="35" t="s">
        <v>105</v>
      </c>
      <c r="AM25" s="35">
        <v>1100</v>
      </c>
      <c r="AN25" s="35" t="s">
        <v>74</v>
      </c>
      <c r="AO25" s="35">
        <v>28.6</v>
      </c>
      <c r="AQ25" s="35">
        <v>0.06</v>
      </c>
      <c r="AR25" s="35">
        <v>0.6</v>
      </c>
      <c r="AS25" s="35">
        <v>0.03</v>
      </c>
      <c r="AT25" s="35" t="s">
        <v>105</v>
      </c>
      <c r="AU25" s="35" t="s">
        <v>105</v>
      </c>
      <c r="AV25" s="35" t="s">
        <v>105</v>
      </c>
      <c r="AW25" s="35" t="s">
        <v>105</v>
      </c>
      <c r="AX25" s="35" t="s">
        <v>105</v>
      </c>
      <c r="AY25" s="35" t="s">
        <v>105</v>
      </c>
      <c r="AZ25" s="35" t="s">
        <v>105</v>
      </c>
    </row>
    <row r="26" spans="1:52" ht="16.5" customHeight="1" x14ac:dyDescent="0.25">
      <c r="A26" s="36" t="s">
        <v>768</v>
      </c>
      <c r="B26" s="36" t="s">
        <v>767</v>
      </c>
      <c r="C26" s="35">
        <v>86</v>
      </c>
      <c r="D26" s="35">
        <v>7.5</v>
      </c>
      <c r="E26" s="35">
        <v>3.5</v>
      </c>
      <c r="F26" s="35">
        <v>1.9</v>
      </c>
      <c r="G26" s="35">
        <v>0.01</v>
      </c>
      <c r="H26" s="35">
        <v>0.28000000000000003</v>
      </c>
      <c r="I26" s="35">
        <v>0.12</v>
      </c>
      <c r="J26" s="35">
        <v>1.1000000000000001</v>
      </c>
      <c r="L26" s="35">
        <v>5.8</v>
      </c>
      <c r="M26" s="35">
        <v>80</v>
      </c>
      <c r="N26" s="35">
        <v>1530</v>
      </c>
      <c r="O26" s="35">
        <v>3373</v>
      </c>
      <c r="P26" s="35">
        <v>1520</v>
      </c>
      <c r="Q26" s="35">
        <v>3350</v>
      </c>
      <c r="S26" s="35" t="s">
        <v>106</v>
      </c>
      <c r="T26" s="35" t="s">
        <v>109</v>
      </c>
      <c r="U26" s="35" t="s">
        <v>112</v>
      </c>
      <c r="V26" s="35" t="s">
        <v>115</v>
      </c>
      <c r="W26" s="35" t="s">
        <v>116</v>
      </c>
      <c r="X26" s="35" t="s">
        <v>119</v>
      </c>
      <c r="Y26" s="35" t="s">
        <v>122</v>
      </c>
      <c r="Z26" s="35" t="s">
        <v>125</v>
      </c>
      <c r="AA26" s="35" t="s">
        <v>766</v>
      </c>
      <c r="AB26" s="35" t="s">
        <v>131</v>
      </c>
      <c r="AC26" s="35" t="s">
        <v>134</v>
      </c>
      <c r="AE26" s="35">
        <v>2</v>
      </c>
      <c r="AF26" s="35">
        <v>1.7</v>
      </c>
      <c r="AG26" s="35">
        <v>22</v>
      </c>
      <c r="AH26" s="35">
        <v>2.6</v>
      </c>
      <c r="AI26" s="35">
        <v>1.1000000000000001</v>
      </c>
      <c r="AJ26" s="35">
        <v>3.9</v>
      </c>
      <c r="AK26" s="35">
        <v>80</v>
      </c>
      <c r="AL26" s="35">
        <v>116</v>
      </c>
      <c r="AM26" s="35">
        <v>1100</v>
      </c>
      <c r="AN26" s="35" t="s">
        <v>74</v>
      </c>
      <c r="AO26" s="35">
        <v>21.5</v>
      </c>
      <c r="AQ26" s="35">
        <v>0.02</v>
      </c>
      <c r="AR26" s="35">
        <v>0.33</v>
      </c>
      <c r="AS26" s="35">
        <v>0.04</v>
      </c>
      <c r="AT26" s="35">
        <v>0.08</v>
      </c>
      <c r="AU26" s="35">
        <v>0.08</v>
      </c>
      <c r="AV26" s="35">
        <v>4.5</v>
      </c>
      <c r="AW26" s="35">
        <v>25</v>
      </c>
      <c r="AX26" s="35">
        <v>2.9</v>
      </c>
      <c r="AY26" s="35">
        <v>20</v>
      </c>
      <c r="AZ26" s="35">
        <v>0.08</v>
      </c>
    </row>
    <row r="27" spans="1:52" ht="16.5" customHeight="1" x14ac:dyDescent="0.25">
      <c r="A27" s="36" t="s">
        <v>765</v>
      </c>
      <c r="B27" s="36" t="s">
        <v>764</v>
      </c>
      <c r="C27" s="35">
        <v>87</v>
      </c>
      <c r="D27" s="35">
        <v>8.4</v>
      </c>
      <c r="E27" s="35">
        <v>6</v>
      </c>
      <c r="F27" s="35">
        <v>2</v>
      </c>
      <c r="G27" s="35">
        <v>0.01</v>
      </c>
      <c r="H27" s="35">
        <v>0.26</v>
      </c>
      <c r="I27" s="35">
        <v>0.09</v>
      </c>
      <c r="J27" s="35">
        <v>1.2</v>
      </c>
      <c r="L27" s="35" t="s">
        <v>105</v>
      </c>
      <c r="M27" s="35">
        <v>85</v>
      </c>
      <c r="N27" s="35">
        <v>1615</v>
      </c>
      <c r="O27" s="35">
        <v>3560</v>
      </c>
      <c r="P27" s="35">
        <v>1595</v>
      </c>
      <c r="Q27" s="35">
        <v>3520</v>
      </c>
      <c r="S27" s="35">
        <v>0.2</v>
      </c>
      <c r="T27" s="35">
        <v>0.19</v>
      </c>
      <c r="U27" s="35">
        <v>0.28000000000000003</v>
      </c>
      <c r="V27" s="35">
        <v>7.0000000000000007E-2</v>
      </c>
      <c r="W27" s="35">
        <v>0.31</v>
      </c>
      <c r="X27" s="35">
        <v>0.31</v>
      </c>
      <c r="Y27" s="35">
        <v>0.27</v>
      </c>
      <c r="Z27" s="35">
        <v>0.42</v>
      </c>
      <c r="AA27" s="35">
        <v>1.06</v>
      </c>
      <c r="AB27" s="35">
        <v>0.43</v>
      </c>
      <c r="AC27" s="35">
        <v>0.42</v>
      </c>
      <c r="AE27" s="35" t="s">
        <v>105</v>
      </c>
      <c r="AF27" s="35">
        <v>1.9</v>
      </c>
      <c r="AG27" s="35">
        <v>28</v>
      </c>
      <c r="AH27" s="35">
        <v>2.5</v>
      </c>
      <c r="AI27" s="35" t="s">
        <v>105</v>
      </c>
      <c r="AJ27" s="35">
        <v>4.5</v>
      </c>
      <c r="AK27" s="35" t="s">
        <v>105</v>
      </c>
      <c r="AL27" s="35">
        <v>112</v>
      </c>
      <c r="AM27" s="35" t="s">
        <v>105</v>
      </c>
      <c r="AN27" s="35" t="s">
        <v>74</v>
      </c>
      <c r="AO27" s="35">
        <v>25</v>
      </c>
      <c r="AQ27" s="35">
        <v>0.01</v>
      </c>
      <c r="AR27" s="35">
        <v>0.31</v>
      </c>
      <c r="AS27" s="35">
        <v>0.05</v>
      </c>
      <c r="AT27" s="35">
        <v>0.09</v>
      </c>
      <c r="AU27" s="35">
        <v>0.08</v>
      </c>
      <c r="AV27" s="35">
        <v>6</v>
      </c>
      <c r="AW27" s="35">
        <v>28</v>
      </c>
      <c r="AX27" s="35">
        <v>4</v>
      </c>
      <c r="AY27" s="35">
        <v>19</v>
      </c>
      <c r="AZ27" s="35">
        <v>0.9</v>
      </c>
    </row>
    <row r="28" spans="1:52" ht="16.5" customHeight="1" x14ac:dyDescent="0.25">
      <c r="A28" s="36" t="s">
        <v>763</v>
      </c>
      <c r="B28" s="36" t="s">
        <v>762</v>
      </c>
      <c r="C28" s="35">
        <v>88</v>
      </c>
      <c r="D28" s="35">
        <v>7.5</v>
      </c>
      <c r="E28" s="35">
        <v>3</v>
      </c>
      <c r="F28" s="35">
        <v>10</v>
      </c>
      <c r="G28" s="35">
        <v>0.04</v>
      </c>
      <c r="H28" s="35">
        <v>0.2</v>
      </c>
      <c r="I28" s="35">
        <v>7.0000000000000007E-2</v>
      </c>
      <c r="J28" s="35">
        <v>1.5</v>
      </c>
      <c r="L28" s="35">
        <v>4.3</v>
      </c>
      <c r="M28" s="35">
        <v>73</v>
      </c>
      <c r="N28" s="35">
        <v>1290</v>
      </c>
      <c r="O28" s="35">
        <v>2840</v>
      </c>
      <c r="P28" s="35">
        <v>1135</v>
      </c>
      <c r="Q28" s="35">
        <v>2500</v>
      </c>
      <c r="S28" s="35">
        <v>0.14000000000000001</v>
      </c>
      <c r="T28" s="35">
        <v>0.13</v>
      </c>
      <c r="U28" s="35">
        <v>0.16</v>
      </c>
      <c r="V28" s="35">
        <v>0.05</v>
      </c>
      <c r="W28" s="35" t="s">
        <v>105</v>
      </c>
      <c r="X28" s="35" t="s">
        <v>105</v>
      </c>
      <c r="Y28" s="35" t="s">
        <v>105</v>
      </c>
      <c r="Z28" s="35" t="s">
        <v>105</v>
      </c>
      <c r="AA28" s="35">
        <v>1</v>
      </c>
      <c r="AB28" s="35">
        <v>0.3</v>
      </c>
      <c r="AC28" s="35" t="s">
        <v>105</v>
      </c>
      <c r="AE28" s="35">
        <v>2</v>
      </c>
      <c r="AF28" s="35">
        <v>2</v>
      </c>
      <c r="AG28" s="35" t="s">
        <v>74</v>
      </c>
      <c r="AH28" s="35" t="s">
        <v>74</v>
      </c>
      <c r="AI28" s="35">
        <v>0.8</v>
      </c>
      <c r="AJ28" s="35">
        <v>4.4000000000000004</v>
      </c>
      <c r="AK28" s="35" t="s">
        <v>105</v>
      </c>
      <c r="AL28" s="35" t="s">
        <v>105</v>
      </c>
      <c r="AM28" s="35">
        <v>350</v>
      </c>
      <c r="AN28" s="35" t="s">
        <v>74</v>
      </c>
      <c r="AO28" s="35">
        <v>15.8</v>
      </c>
      <c r="AQ28" s="35" t="s">
        <v>105</v>
      </c>
      <c r="AR28" s="35">
        <v>0.53</v>
      </c>
      <c r="AS28" s="35" t="s">
        <v>105</v>
      </c>
      <c r="AT28" s="35">
        <v>0.13</v>
      </c>
      <c r="AU28" s="35">
        <v>0.19</v>
      </c>
      <c r="AV28" s="35" t="s">
        <v>105</v>
      </c>
      <c r="AW28" s="35" t="s">
        <v>105</v>
      </c>
      <c r="AX28" s="35" t="s">
        <v>105</v>
      </c>
      <c r="AY28" s="35" t="s">
        <v>105</v>
      </c>
      <c r="AZ28" s="35">
        <v>0.08</v>
      </c>
    </row>
    <row r="29" spans="1:52" ht="16.5" customHeight="1" x14ac:dyDescent="0.25">
      <c r="A29" s="36" t="s">
        <v>761</v>
      </c>
      <c r="B29" s="36" t="s">
        <v>760</v>
      </c>
      <c r="C29" s="35">
        <v>89</v>
      </c>
      <c r="D29" s="35">
        <v>2.2999999999999998</v>
      </c>
      <c r="E29" s="35">
        <v>0.4</v>
      </c>
      <c r="F29" s="35">
        <v>35</v>
      </c>
      <c r="G29" s="35">
        <v>0.11</v>
      </c>
      <c r="H29" s="35">
        <v>0.04</v>
      </c>
      <c r="I29" s="35" t="s">
        <v>74</v>
      </c>
      <c r="J29" s="35">
        <v>1.5</v>
      </c>
      <c r="L29" s="35">
        <v>1.8</v>
      </c>
      <c r="M29" s="35">
        <v>42</v>
      </c>
      <c r="N29" s="35">
        <v>240</v>
      </c>
      <c r="O29" s="35">
        <v>528</v>
      </c>
      <c r="P29" s="35">
        <v>140</v>
      </c>
      <c r="Q29" s="35">
        <v>305</v>
      </c>
      <c r="S29" s="35" t="s">
        <v>74</v>
      </c>
      <c r="T29" s="35" t="s">
        <v>74</v>
      </c>
      <c r="U29" s="35" t="s">
        <v>74</v>
      </c>
      <c r="V29" s="35" t="s">
        <v>74</v>
      </c>
      <c r="W29" s="35" t="s">
        <v>74</v>
      </c>
      <c r="X29" s="35" t="s">
        <v>74</v>
      </c>
      <c r="Y29" s="35" t="s">
        <v>74</v>
      </c>
      <c r="Z29" s="35" t="s">
        <v>74</v>
      </c>
      <c r="AA29" s="35" t="s">
        <v>74</v>
      </c>
      <c r="AB29" s="35" t="s">
        <v>74</v>
      </c>
      <c r="AC29" s="35" t="s">
        <v>74</v>
      </c>
      <c r="AE29" s="35">
        <v>1</v>
      </c>
      <c r="AF29" s="35">
        <v>1</v>
      </c>
      <c r="AG29" s="35" t="s">
        <v>74</v>
      </c>
      <c r="AH29" s="35" t="s">
        <v>74</v>
      </c>
      <c r="AI29" s="35">
        <v>1.1000000000000001</v>
      </c>
      <c r="AJ29" s="35">
        <v>3.8</v>
      </c>
      <c r="AK29" s="35" t="s">
        <v>105</v>
      </c>
      <c r="AL29" s="35" t="s">
        <v>105</v>
      </c>
      <c r="AM29" s="35" t="s">
        <v>105</v>
      </c>
      <c r="AN29" s="35" t="s">
        <v>74</v>
      </c>
      <c r="AO29" s="35">
        <v>7.3</v>
      </c>
      <c r="AQ29" s="35" t="s">
        <v>105</v>
      </c>
      <c r="AR29" s="35">
        <v>0.76</v>
      </c>
      <c r="AS29" s="35" t="s">
        <v>105</v>
      </c>
      <c r="AT29" s="35">
        <v>0.06</v>
      </c>
      <c r="AU29" s="35">
        <v>0.42</v>
      </c>
      <c r="AV29" s="35">
        <v>6</v>
      </c>
      <c r="AW29" s="35">
        <v>210</v>
      </c>
      <c r="AX29" s="35">
        <v>7</v>
      </c>
      <c r="AY29" s="35" t="s">
        <v>105</v>
      </c>
      <c r="AZ29" s="35">
        <v>0.08</v>
      </c>
    </row>
    <row r="30" spans="1:52" ht="16.5" customHeight="1" x14ac:dyDescent="0.25">
      <c r="A30" s="36" t="s">
        <v>759</v>
      </c>
      <c r="B30" s="36" t="s">
        <v>758</v>
      </c>
      <c r="C30" s="35">
        <v>90</v>
      </c>
      <c r="D30" s="35">
        <v>20</v>
      </c>
      <c r="E30" s="35">
        <v>1</v>
      </c>
      <c r="F30" s="35">
        <v>12</v>
      </c>
      <c r="G30" s="35">
        <v>0.3</v>
      </c>
      <c r="H30" s="35">
        <v>0.5</v>
      </c>
      <c r="I30" s="35">
        <v>0.15</v>
      </c>
      <c r="J30" s="35">
        <v>3.8</v>
      </c>
      <c r="L30" s="35">
        <v>19.3</v>
      </c>
      <c r="M30" s="35">
        <v>70</v>
      </c>
      <c r="N30" s="35">
        <v>770</v>
      </c>
      <c r="O30" s="35">
        <v>1700</v>
      </c>
      <c r="P30" s="35">
        <v>1320</v>
      </c>
      <c r="Q30" s="35">
        <v>2900</v>
      </c>
      <c r="S30" s="35">
        <v>0.6</v>
      </c>
      <c r="T30" s="35">
        <v>0.4</v>
      </c>
      <c r="U30" s="35">
        <v>0.9</v>
      </c>
      <c r="V30" s="35">
        <v>0.2</v>
      </c>
      <c r="W30" s="35">
        <v>1.1000000000000001</v>
      </c>
      <c r="X30" s="35">
        <v>0.7</v>
      </c>
      <c r="Y30" s="35">
        <v>0.7</v>
      </c>
      <c r="Z30" s="35">
        <v>1.2</v>
      </c>
      <c r="AA30" s="35">
        <v>1.7</v>
      </c>
      <c r="AB30" s="35">
        <v>1.3</v>
      </c>
      <c r="AC30" s="35">
        <v>0.9</v>
      </c>
      <c r="AE30" s="35">
        <v>2</v>
      </c>
      <c r="AF30" s="35" t="s">
        <v>74</v>
      </c>
      <c r="AG30" s="35">
        <v>80.8</v>
      </c>
      <c r="AH30" s="35">
        <v>6</v>
      </c>
      <c r="AI30" s="35">
        <v>4</v>
      </c>
      <c r="AJ30" s="35">
        <v>6.7</v>
      </c>
      <c r="AK30" s="35">
        <v>220</v>
      </c>
      <c r="AL30" s="35">
        <v>200</v>
      </c>
      <c r="AM30" s="35">
        <v>2000</v>
      </c>
      <c r="AN30" s="35" t="s">
        <v>74</v>
      </c>
      <c r="AO30" s="35">
        <v>41.8</v>
      </c>
      <c r="AQ30" s="35">
        <v>0.04</v>
      </c>
      <c r="AR30" s="35">
        <v>0.3</v>
      </c>
      <c r="AS30" s="35" t="s">
        <v>105</v>
      </c>
      <c r="AT30" s="35">
        <v>0.16</v>
      </c>
      <c r="AU30" s="35">
        <v>0.32</v>
      </c>
      <c r="AV30" s="35">
        <v>4</v>
      </c>
      <c r="AW30" s="35">
        <v>330</v>
      </c>
      <c r="AX30" s="35">
        <v>4</v>
      </c>
      <c r="AY30" s="35">
        <v>100</v>
      </c>
      <c r="AZ30" s="35">
        <v>0.33</v>
      </c>
    </row>
    <row r="31" spans="1:52" ht="16.5" customHeight="1" x14ac:dyDescent="0.25">
      <c r="A31" s="36" t="s">
        <v>757</v>
      </c>
      <c r="B31" s="36" t="s">
        <v>756</v>
      </c>
      <c r="C31" s="35">
        <v>91</v>
      </c>
      <c r="D31" s="35">
        <v>17.7</v>
      </c>
      <c r="E31" s="35">
        <v>0.9</v>
      </c>
      <c r="F31" s="35">
        <v>10.9</v>
      </c>
      <c r="G31" s="35">
        <v>0.03</v>
      </c>
      <c r="H31" s="35">
        <v>0.5</v>
      </c>
      <c r="I31" s="35">
        <v>0.15</v>
      </c>
      <c r="J31" s="35">
        <v>3.5</v>
      </c>
      <c r="L31" s="35" t="s">
        <v>105</v>
      </c>
      <c r="M31" s="35">
        <v>69</v>
      </c>
      <c r="N31" s="35" t="s">
        <v>105</v>
      </c>
      <c r="O31" s="35" t="s">
        <v>105</v>
      </c>
      <c r="P31" s="35">
        <v>1190</v>
      </c>
      <c r="Q31" s="35">
        <v>2615</v>
      </c>
      <c r="S31" s="35">
        <v>0.43</v>
      </c>
      <c r="T31" s="35">
        <v>0.4</v>
      </c>
      <c r="U31" s="35">
        <v>1.1000000000000001</v>
      </c>
      <c r="V31" s="35">
        <v>0.25</v>
      </c>
      <c r="W31" s="35">
        <v>0.9</v>
      </c>
      <c r="X31" s="35">
        <v>0.6</v>
      </c>
      <c r="Y31" s="35">
        <v>0.6</v>
      </c>
      <c r="Z31" s="35">
        <v>1.1000000000000001</v>
      </c>
      <c r="AA31" s="35">
        <v>1.3</v>
      </c>
      <c r="AB31" s="35">
        <v>1.4</v>
      </c>
      <c r="AC31" s="35">
        <v>0.9</v>
      </c>
      <c r="AE31" s="35">
        <v>2</v>
      </c>
      <c r="AF31" s="35" t="s">
        <v>105</v>
      </c>
      <c r="AG31" s="35">
        <v>87</v>
      </c>
      <c r="AH31" s="35" t="s">
        <v>105</v>
      </c>
      <c r="AI31" s="35">
        <v>3.7</v>
      </c>
      <c r="AJ31" s="35">
        <v>3.3</v>
      </c>
      <c r="AK31" s="35" t="s">
        <v>105</v>
      </c>
      <c r="AL31" s="35" t="s">
        <v>105</v>
      </c>
      <c r="AM31" s="35">
        <v>1936</v>
      </c>
      <c r="AN31" s="35" t="s">
        <v>105</v>
      </c>
      <c r="AO31" s="35">
        <v>42</v>
      </c>
      <c r="AQ31" s="35">
        <v>0.04</v>
      </c>
      <c r="AR31" s="35">
        <v>0.3</v>
      </c>
      <c r="AS31" s="35" t="s">
        <v>105</v>
      </c>
      <c r="AT31" s="35">
        <v>0.1</v>
      </c>
      <c r="AU31" s="35">
        <v>0.3</v>
      </c>
      <c r="AV31" s="35">
        <v>17</v>
      </c>
      <c r="AW31" s="35">
        <v>320</v>
      </c>
      <c r="AX31" s="35">
        <v>13</v>
      </c>
      <c r="AY31" s="35">
        <v>75</v>
      </c>
      <c r="AZ31" s="35" t="s">
        <v>105</v>
      </c>
    </row>
    <row r="32" spans="1:52" ht="16.5" customHeight="1" x14ac:dyDescent="0.25">
      <c r="A32" s="36" t="s">
        <v>755</v>
      </c>
      <c r="B32" s="36" t="s">
        <v>754</v>
      </c>
      <c r="C32" s="35">
        <v>88</v>
      </c>
      <c r="D32" s="35">
        <v>21</v>
      </c>
      <c r="E32" s="35">
        <v>2</v>
      </c>
      <c r="F32" s="35">
        <v>10</v>
      </c>
      <c r="G32" s="35">
        <v>0.2</v>
      </c>
      <c r="H32" s="35">
        <v>0.9</v>
      </c>
      <c r="I32" s="35">
        <v>0.22</v>
      </c>
      <c r="J32" s="35">
        <v>7.8</v>
      </c>
      <c r="L32" s="35">
        <v>19.3</v>
      </c>
      <c r="M32" s="35">
        <v>75</v>
      </c>
      <c r="N32" s="35">
        <v>795</v>
      </c>
      <c r="O32" s="35">
        <v>1750</v>
      </c>
      <c r="P32" s="35">
        <v>1090</v>
      </c>
      <c r="Q32" s="35">
        <v>2400</v>
      </c>
      <c r="S32" s="35" t="s">
        <v>753</v>
      </c>
      <c r="T32" s="35" t="s">
        <v>752</v>
      </c>
      <c r="U32" s="35" t="s">
        <v>751</v>
      </c>
      <c r="V32" s="35">
        <v>0.1</v>
      </c>
      <c r="W32" s="35" t="s">
        <v>750</v>
      </c>
      <c r="X32" s="35" t="s">
        <v>749</v>
      </c>
      <c r="Y32" s="35" t="s">
        <v>748</v>
      </c>
      <c r="Z32" s="35" t="s">
        <v>747</v>
      </c>
      <c r="AA32" s="35" t="s">
        <v>746</v>
      </c>
      <c r="AB32" s="35" t="s">
        <v>745</v>
      </c>
      <c r="AC32" s="35" t="s">
        <v>744</v>
      </c>
      <c r="AE32" s="35">
        <v>8</v>
      </c>
      <c r="AF32" s="35">
        <v>13.1</v>
      </c>
      <c r="AG32" s="35">
        <v>14.8</v>
      </c>
      <c r="AH32" s="35">
        <v>2</v>
      </c>
      <c r="AI32" s="35">
        <v>2.4</v>
      </c>
      <c r="AJ32" s="35">
        <v>17.8</v>
      </c>
      <c r="AK32" s="35">
        <v>220</v>
      </c>
      <c r="AL32" s="35">
        <v>200</v>
      </c>
      <c r="AM32" s="35">
        <v>2420</v>
      </c>
      <c r="AN32" s="35" t="s">
        <v>74</v>
      </c>
      <c r="AO32" s="35">
        <v>75</v>
      </c>
      <c r="AQ32" s="35">
        <v>0.15</v>
      </c>
      <c r="AR32" s="35">
        <v>1.3</v>
      </c>
      <c r="AS32" s="35">
        <v>0.22</v>
      </c>
      <c r="AT32" s="35">
        <v>0.42</v>
      </c>
      <c r="AU32" s="35">
        <v>0.16</v>
      </c>
      <c r="AV32" s="35">
        <v>24</v>
      </c>
      <c r="AW32" s="35">
        <v>460</v>
      </c>
      <c r="AX32" s="35">
        <v>35</v>
      </c>
      <c r="AY32" s="35">
        <v>80</v>
      </c>
      <c r="AZ32" s="35">
        <v>0.22</v>
      </c>
    </row>
    <row r="33" spans="1:52" ht="16.5" customHeight="1" x14ac:dyDescent="0.25">
      <c r="A33" s="36" t="s">
        <v>743</v>
      </c>
      <c r="B33" s="36" t="s">
        <v>742</v>
      </c>
      <c r="C33" s="35">
        <v>90</v>
      </c>
      <c r="D33" s="35">
        <v>42</v>
      </c>
      <c r="E33" s="35">
        <v>2</v>
      </c>
      <c r="F33" s="35">
        <v>4</v>
      </c>
      <c r="G33" s="35">
        <v>0.16</v>
      </c>
      <c r="H33" s="35">
        <v>0.4</v>
      </c>
      <c r="I33" s="35">
        <v>0.25</v>
      </c>
      <c r="J33" s="35">
        <v>3</v>
      </c>
      <c r="L33" s="35">
        <v>35.700000000000003</v>
      </c>
      <c r="M33" s="35">
        <v>76</v>
      </c>
      <c r="N33" s="35">
        <v>1510</v>
      </c>
      <c r="O33" s="35">
        <v>3310</v>
      </c>
      <c r="P33" s="35">
        <v>1395</v>
      </c>
      <c r="Q33" s="35">
        <v>3070</v>
      </c>
      <c r="S33" s="35">
        <v>1</v>
      </c>
      <c r="T33" s="35">
        <v>0.6</v>
      </c>
      <c r="U33" s="35">
        <v>0.8</v>
      </c>
      <c r="V33" s="35">
        <v>0.2</v>
      </c>
      <c r="W33" s="35">
        <v>1.4</v>
      </c>
      <c r="X33" s="35">
        <v>2.2999999999999998</v>
      </c>
      <c r="Y33" s="35">
        <v>0.9</v>
      </c>
      <c r="Z33" s="35">
        <v>2.2000000000000002</v>
      </c>
      <c r="AA33" s="35">
        <v>6.6</v>
      </c>
      <c r="AB33" s="35">
        <v>1.4</v>
      </c>
      <c r="AC33" s="35">
        <v>2.9</v>
      </c>
      <c r="AE33" s="35">
        <v>16</v>
      </c>
      <c r="AF33" s="35">
        <v>25</v>
      </c>
      <c r="AG33" s="35">
        <v>19.899999999999999</v>
      </c>
      <c r="AH33" s="35">
        <v>0.22</v>
      </c>
      <c r="AI33" s="35">
        <v>1.5</v>
      </c>
      <c r="AJ33" s="35">
        <v>9.6</v>
      </c>
      <c r="AK33" s="35">
        <v>150</v>
      </c>
      <c r="AL33" s="35">
        <v>220</v>
      </c>
      <c r="AM33" s="35">
        <v>330</v>
      </c>
      <c r="AN33" s="35" t="s">
        <v>74</v>
      </c>
      <c r="AO33" s="35">
        <v>54.5</v>
      </c>
      <c r="AQ33" s="35">
        <v>0.1</v>
      </c>
      <c r="AR33" s="35">
        <v>0.03</v>
      </c>
      <c r="AS33" s="35">
        <v>0.08</v>
      </c>
      <c r="AT33" s="35">
        <v>0.05</v>
      </c>
      <c r="AU33" s="35">
        <v>0.6</v>
      </c>
      <c r="AV33" s="35">
        <v>7</v>
      </c>
      <c r="AW33" s="35">
        <v>400</v>
      </c>
      <c r="AX33" s="35">
        <v>28</v>
      </c>
      <c r="AY33" s="35" t="s">
        <v>74</v>
      </c>
      <c r="AZ33" s="35">
        <v>1</v>
      </c>
    </row>
    <row r="34" spans="1:52" ht="16.5" customHeight="1" x14ac:dyDescent="0.25">
      <c r="A34" s="36" t="s">
        <v>741</v>
      </c>
      <c r="B34" s="36" t="s">
        <v>740</v>
      </c>
      <c r="C34" s="35">
        <v>90</v>
      </c>
      <c r="D34" s="35">
        <v>60</v>
      </c>
      <c r="E34" s="35">
        <v>2</v>
      </c>
      <c r="F34" s="35">
        <v>2.5</v>
      </c>
      <c r="G34" s="35">
        <v>0.02</v>
      </c>
      <c r="H34" s="35">
        <v>0.5</v>
      </c>
      <c r="I34" s="35">
        <v>0.18</v>
      </c>
      <c r="J34" s="35">
        <v>1.8</v>
      </c>
      <c r="L34" s="35">
        <v>47.4</v>
      </c>
      <c r="M34" s="35">
        <v>86</v>
      </c>
      <c r="N34" s="35">
        <v>1700</v>
      </c>
      <c r="O34" s="35">
        <v>3740</v>
      </c>
      <c r="P34" s="35" t="s">
        <v>105</v>
      </c>
      <c r="Q34" s="35" t="s">
        <v>105</v>
      </c>
      <c r="S34" s="35" t="s">
        <v>139</v>
      </c>
      <c r="T34" s="35" t="s">
        <v>144</v>
      </c>
      <c r="U34" s="35" t="s">
        <v>739</v>
      </c>
      <c r="V34" s="35">
        <v>0.3</v>
      </c>
      <c r="W34" s="35" t="s">
        <v>738</v>
      </c>
      <c r="X34" s="35" t="s">
        <v>160</v>
      </c>
      <c r="Y34" s="35" t="s">
        <v>165</v>
      </c>
      <c r="Z34" s="35" t="s">
        <v>737</v>
      </c>
      <c r="AA34" s="35" t="s">
        <v>175</v>
      </c>
      <c r="AB34" s="35" t="s">
        <v>180</v>
      </c>
      <c r="AC34" s="35" t="s">
        <v>185</v>
      </c>
      <c r="AE34" s="35">
        <v>44</v>
      </c>
      <c r="AF34" s="35">
        <v>60</v>
      </c>
      <c r="AG34" s="35">
        <v>25.5</v>
      </c>
      <c r="AH34" s="35">
        <v>0.28000000000000003</v>
      </c>
      <c r="AI34" s="35">
        <v>2.2000000000000002</v>
      </c>
      <c r="AJ34" s="35">
        <v>2.9</v>
      </c>
      <c r="AK34" s="35">
        <v>220</v>
      </c>
      <c r="AL34" s="35">
        <v>230</v>
      </c>
      <c r="AM34" s="35">
        <v>2200</v>
      </c>
      <c r="AN34" s="35" t="s">
        <v>74</v>
      </c>
      <c r="AO34" s="35">
        <v>81</v>
      </c>
      <c r="AQ34" s="35">
        <v>0.03</v>
      </c>
      <c r="AR34" s="35">
        <v>0.45</v>
      </c>
      <c r="AS34" s="35">
        <v>0.05</v>
      </c>
      <c r="AT34" s="35">
        <v>0.15</v>
      </c>
      <c r="AU34" s="35">
        <v>0.5</v>
      </c>
      <c r="AV34" s="35">
        <v>4</v>
      </c>
      <c r="AW34" s="35">
        <v>400</v>
      </c>
      <c r="AX34" s="35">
        <v>22</v>
      </c>
      <c r="AY34" s="35">
        <v>41</v>
      </c>
      <c r="AZ34" s="35">
        <v>1</v>
      </c>
    </row>
    <row r="35" spans="1:52" ht="16.5" customHeight="1" x14ac:dyDescent="0.25">
      <c r="A35" s="36" t="s">
        <v>736</v>
      </c>
      <c r="B35" s="36" t="s">
        <v>735</v>
      </c>
      <c r="C35" s="35">
        <v>90</v>
      </c>
      <c r="D35" s="35">
        <v>41</v>
      </c>
      <c r="E35" s="35">
        <v>1.5</v>
      </c>
      <c r="F35" s="35">
        <v>12.7</v>
      </c>
      <c r="G35" s="35">
        <v>0.17</v>
      </c>
      <c r="H35" s="35">
        <v>1</v>
      </c>
      <c r="I35" s="35">
        <v>0.32</v>
      </c>
      <c r="J35" s="35">
        <v>6.4</v>
      </c>
      <c r="L35" s="35">
        <v>30.6</v>
      </c>
      <c r="M35" s="35">
        <v>71</v>
      </c>
      <c r="N35" s="35">
        <v>880</v>
      </c>
      <c r="O35" s="35">
        <v>1940</v>
      </c>
      <c r="P35" s="35">
        <v>1200</v>
      </c>
      <c r="Q35" s="35">
        <v>2640</v>
      </c>
      <c r="S35" s="35" t="s">
        <v>734</v>
      </c>
      <c r="T35" s="35" t="s">
        <v>733</v>
      </c>
      <c r="U35" s="35" t="s">
        <v>732</v>
      </c>
      <c r="V35" s="35">
        <v>0.47</v>
      </c>
      <c r="W35" s="35" t="s">
        <v>731</v>
      </c>
      <c r="X35" s="35" t="s">
        <v>730</v>
      </c>
      <c r="Y35" s="35" t="s">
        <v>729</v>
      </c>
      <c r="Z35" s="35" t="s">
        <v>728</v>
      </c>
      <c r="AA35" s="35" t="s">
        <v>727</v>
      </c>
      <c r="AB35" s="35" t="s">
        <v>726</v>
      </c>
      <c r="AC35" s="35" t="s">
        <v>725</v>
      </c>
      <c r="AE35" s="35" t="s">
        <v>74</v>
      </c>
      <c r="AF35" s="35" t="s">
        <v>74</v>
      </c>
      <c r="AG35" s="35">
        <v>15</v>
      </c>
      <c r="AH35" s="35">
        <v>3.3</v>
      </c>
      <c r="AI35" s="35">
        <v>4</v>
      </c>
      <c r="AJ35" s="35">
        <v>7</v>
      </c>
      <c r="AK35" s="35">
        <v>550</v>
      </c>
      <c r="AL35" s="35">
        <v>2662</v>
      </c>
      <c r="AM35" s="35">
        <v>2933</v>
      </c>
      <c r="AN35" s="35" t="s">
        <v>74</v>
      </c>
      <c r="AO35" s="35">
        <v>40.299999999999997</v>
      </c>
      <c r="AQ35" s="35">
        <v>0.04</v>
      </c>
      <c r="AR35" s="35">
        <v>1.22</v>
      </c>
      <c r="AS35" s="35">
        <v>0.04</v>
      </c>
      <c r="AT35" s="35">
        <v>0.4</v>
      </c>
      <c r="AU35" s="35">
        <v>0.21</v>
      </c>
      <c r="AV35" s="35">
        <v>20</v>
      </c>
      <c r="AW35" s="35">
        <v>110</v>
      </c>
      <c r="AX35" s="35">
        <v>18</v>
      </c>
      <c r="AY35" s="35">
        <v>62</v>
      </c>
      <c r="AZ35" s="35">
        <v>0.3</v>
      </c>
    </row>
    <row r="36" spans="1:52" ht="16.5" customHeight="1" x14ac:dyDescent="0.25">
      <c r="A36" s="36" t="s">
        <v>724</v>
      </c>
      <c r="B36" s="36" t="s">
        <v>723</v>
      </c>
      <c r="C36" s="35">
        <v>91</v>
      </c>
      <c r="D36" s="35">
        <v>41</v>
      </c>
      <c r="E36" s="35">
        <v>3.9</v>
      </c>
      <c r="F36" s="35">
        <v>12.6</v>
      </c>
      <c r="G36" s="35">
        <v>0.17</v>
      </c>
      <c r="H36" s="35">
        <v>0.97</v>
      </c>
      <c r="I36" s="35">
        <v>0.32</v>
      </c>
      <c r="J36" s="35">
        <v>6.2</v>
      </c>
      <c r="L36" s="35">
        <v>32.9</v>
      </c>
      <c r="M36" s="35">
        <v>71</v>
      </c>
      <c r="N36" s="35">
        <v>955</v>
      </c>
      <c r="O36" s="35">
        <v>2100</v>
      </c>
      <c r="P36" s="35">
        <v>1345</v>
      </c>
      <c r="Q36" s="35">
        <v>2955</v>
      </c>
      <c r="S36" s="35">
        <v>0.55000000000000004</v>
      </c>
      <c r="T36" s="35">
        <v>0.59</v>
      </c>
      <c r="U36" s="35">
        <v>1.52</v>
      </c>
      <c r="V36" s="35">
        <v>0.5</v>
      </c>
      <c r="W36" s="35">
        <v>1.3</v>
      </c>
      <c r="X36" s="35">
        <v>1.31</v>
      </c>
      <c r="Y36" s="35">
        <v>1.07</v>
      </c>
      <c r="Z36" s="35">
        <v>1.84</v>
      </c>
      <c r="AA36" s="35">
        <v>2.5</v>
      </c>
      <c r="AB36" s="35">
        <v>4.33</v>
      </c>
      <c r="AC36" s="35">
        <v>2.2000000000000002</v>
      </c>
      <c r="AE36" s="35" t="s">
        <v>74</v>
      </c>
      <c r="AF36" s="35" t="s">
        <v>74</v>
      </c>
      <c r="AG36" s="35">
        <v>15</v>
      </c>
      <c r="AH36" s="35">
        <v>9.6999999999999993</v>
      </c>
      <c r="AI36" s="35">
        <v>4.2</v>
      </c>
      <c r="AJ36" s="35">
        <v>7.7</v>
      </c>
      <c r="AK36" s="35">
        <v>528</v>
      </c>
      <c r="AL36" s="35">
        <v>2728</v>
      </c>
      <c r="AM36" s="35">
        <v>2807</v>
      </c>
      <c r="AN36" s="35" t="s">
        <v>74</v>
      </c>
      <c r="AO36" s="35">
        <v>37.799999999999997</v>
      </c>
      <c r="AQ36" s="35">
        <v>0.04</v>
      </c>
      <c r="AR36" s="35">
        <v>1.2</v>
      </c>
      <c r="AS36" s="35">
        <v>0.04</v>
      </c>
      <c r="AT36" s="35">
        <v>0.42</v>
      </c>
      <c r="AU36" s="35">
        <v>0.4</v>
      </c>
      <c r="AV36" s="35">
        <v>22</v>
      </c>
      <c r="AW36" s="35">
        <v>100</v>
      </c>
      <c r="AX36" s="35">
        <v>17</v>
      </c>
      <c r="AY36" s="35">
        <v>60</v>
      </c>
      <c r="AZ36" s="35">
        <v>0.3</v>
      </c>
    </row>
    <row r="37" spans="1:52" ht="16.5" customHeight="1" x14ac:dyDescent="0.25">
      <c r="A37" s="36" t="s">
        <v>722</v>
      </c>
      <c r="B37" s="36" t="s">
        <v>721</v>
      </c>
      <c r="C37" s="35">
        <v>90</v>
      </c>
      <c r="D37" s="35">
        <v>41</v>
      </c>
      <c r="E37" s="35">
        <v>2.1</v>
      </c>
      <c r="F37" s="35">
        <v>11.3</v>
      </c>
      <c r="G37" s="35">
        <v>0.16</v>
      </c>
      <c r="H37" s="35">
        <v>1</v>
      </c>
      <c r="I37" s="35">
        <v>0.32</v>
      </c>
      <c r="J37" s="35">
        <v>6.4</v>
      </c>
      <c r="L37" s="35">
        <v>29.5</v>
      </c>
      <c r="M37" s="35">
        <v>72</v>
      </c>
      <c r="N37" s="35">
        <v>915</v>
      </c>
      <c r="O37" s="35">
        <v>2010</v>
      </c>
      <c r="P37" s="35">
        <v>1225</v>
      </c>
      <c r="Q37" s="35">
        <v>2690</v>
      </c>
      <c r="S37" s="35">
        <v>0.51</v>
      </c>
      <c r="T37" s="35">
        <v>0.62</v>
      </c>
      <c r="U37" s="35">
        <v>1.7</v>
      </c>
      <c r="V37" s="35">
        <v>0.52</v>
      </c>
      <c r="W37" s="35">
        <v>1.34</v>
      </c>
      <c r="X37" s="35">
        <v>1.33</v>
      </c>
      <c r="Y37" s="35">
        <v>1.1000000000000001</v>
      </c>
      <c r="Z37" s="35">
        <v>1.82</v>
      </c>
      <c r="AA37" s="35">
        <v>2.4</v>
      </c>
      <c r="AB37" s="35">
        <v>4.66</v>
      </c>
      <c r="AC37" s="35">
        <v>2.23</v>
      </c>
      <c r="AE37" s="35" t="s">
        <v>74</v>
      </c>
      <c r="AF37" s="35" t="s">
        <v>74</v>
      </c>
      <c r="AG37" s="35">
        <v>15</v>
      </c>
      <c r="AH37" s="35">
        <v>7.7</v>
      </c>
      <c r="AI37" s="35">
        <v>4.4000000000000004</v>
      </c>
      <c r="AJ37" s="35">
        <v>9.9</v>
      </c>
      <c r="AK37" s="35">
        <v>550</v>
      </c>
      <c r="AL37" s="35">
        <v>2794</v>
      </c>
      <c r="AM37" s="35">
        <v>2706</v>
      </c>
      <c r="AN37" s="35" t="s">
        <v>74</v>
      </c>
      <c r="AO37" s="35">
        <v>39.200000000000003</v>
      </c>
      <c r="AQ37" s="35">
        <v>0.04</v>
      </c>
      <c r="AR37" s="35">
        <v>1.1599999999999999</v>
      </c>
      <c r="AS37" s="35">
        <v>0.04</v>
      </c>
      <c r="AT37" s="35">
        <v>0.4</v>
      </c>
      <c r="AU37" s="35">
        <v>0.3</v>
      </c>
      <c r="AV37" s="35">
        <v>21</v>
      </c>
      <c r="AW37" s="35">
        <v>90</v>
      </c>
      <c r="AX37" s="35">
        <v>16</v>
      </c>
      <c r="AY37" s="35">
        <v>60</v>
      </c>
      <c r="AZ37" s="35">
        <v>0.3</v>
      </c>
    </row>
    <row r="38" spans="1:52" ht="16.5" customHeight="1" x14ac:dyDescent="0.25">
      <c r="A38" s="36" t="s">
        <v>720</v>
      </c>
      <c r="B38" s="36" t="s">
        <v>719</v>
      </c>
      <c r="C38" s="35">
        <v>90</v>
      </c>
      <c r="D38" s="35">
        <v>4</v>
      </c>
      <c r="E38" s="35">
        <v>4.4000000000000004</v>
      </c>
      <c r="F38" s="35">
        <v>43</v>
      </c>
      <c r="G38" s="35">
        <v>0.14000000000000001</v>
      </c>
      <c r="H38" s="35">
        <v>0.09</v>
      </c>
      <c r="I38" s="35" t="s">
        <v>74</v>
      </c>
      <c r="J38" s="35">
        <v>2.5</v>
      </c>
      <c r="L38" s="35">
        <v>3.2</v>
      </c>
      <c r="M38" s="35">
        <v>47</v>
      </c>
      <c r="N38" s="35" t="s">
        <v>105</v>
      </c>
      <c r="O38" s="35" t="s">
        <v>105</v>
      </c>
      <c r="P38" s="35" t="s">
        <v>105</v>
      </c>
      <c r="Q38" s="35" t="s">
        <v>105</v>
      </c>
      <c r="S38" s="35" t="s">
        <v>74</v>
      </c>
      <c r="T38" s="35" t="s">
        <v>74</v>
      </c>
      <c r="U38" s="35" t="s">
        <v>74</v>
      </c>
      <c r="V38" s="35" t="s">
        <v>74</v>
      </c>
      <c r="W38" s="35" t="s">
        <v>74</v>
      </c>
      <c r="X38" s="35" t="s">
        <v>74</v>
      </c>
      <c r="Y38" s="35" t="s">
        <v>74</v>
      </c>
      <c r="Z38" s="35" t="s">
        <v>74</v>
      </c>
      <c r="AA38" s="35" t="s">
        <v>74</v>
      </c>
      <c r="AB38" s="35" t="s">
        <v>74</v>
      </c>
      <c r="AC38" s="35" t="s">
        <v>74</v>
      </c>
      <c r="AE38" s="35" t="s">
        <v>74</v>
      </c>
      <c r="AF38" s="35" t="s">
        <v>74</v>
      </c>
      <c r="AG38" s="35" t="s">
        <v>74</v>
      </c>
      <c r="AH38" s="35" t="s">
        <v>74</v>
      </c>
      <c r="AI38" s="35">
        <v>3.7</v>
      </c>
      <c r="AJ38" s="35" t="s">
        <v>74</v>
      </c>
      <c r="AK38" s="35" t="s">
        <v>74</v>
      </c>
      <c r="AL38" s="35" t="s">
        <v>74</v>
      </c>
      <c r="AM38" s="35" t="s">
        <v>74</v>
      </c>
      <c r="AN38" s="35" t="s">
        <v>74</v>
      </c>
      <c r="AO38" s="35" t="s">
        <v>74</v>
      </c>
      <c r="AQ38" s="35">
        <v>0.02</v>
      </c>
      <c r="AR38" s="35">
        <v>0.87</v>
      </c>
      <c r="AS38" s="35" t="s">
        <v>105</v>
      </c>
      <c r="AT38" s="35">
        <v>0.13</v>
      </c>
      <c r="AU38" s="35" t="s">
        <v>74</v>
      </c>
      <c r="AV38" s="35" t="s">
        <v>74</v>
      </c>
      <c r="AW38" s="35" t="s">
        <v>74</v>
      </c>
      <c r="AX38" s="35" t="s">
        <v>74</v>
      </c>
      <c r="AY38" s="35" t="s">
        <v>74</v>
      </c>
      <c r="AZ38" s="35" t="s">
        <v>74</v>
      </c>
    </row>
    <row r="39" spans="1:52" ht="16.5" customHeight="1" x14ac:dyDescent="0.25">
      <c r="A39" s="36" t="s">
        <v>718</v>
      </c>
      <c r="B39" s="36" t="s">
        <v>717</v>
      </c>
      <c r="C39" s="35">
        <v>92</v>
      </c>
      <c r="D39" s="35">
        <v>23</v>
      </c>
      <c r="E39" s="35">
        <v>19</v>
      </c>
      <c r="F39" s="35">
        <v>26</v>
      </c>
      <c r="G39" s="35">
        <v>0.19</v>
      </c>
      <c r="H39" s="35">
        <v>0.61</v>
      </c>
      <c r="I39" s="35" t="s">
        <v>105</v>
      </c>
      <c r="J39" s="35">
        <v>4.4000000000000004</v>
      </c>
      <c r="L39" s="35">
        <v>19</v>
      </c>
      <c r="M39" s="35">
        <v>96</v>
      </c>
      <c r="N39" s="35" t="s">
        <v>105</v>
      </c>
      <c r="O39" s="35" t="s">
        <v>105</v>
      </c>
      <c r="P39" s="35" t="s">
        <v>105</v>
      </c>
      <c r="Q39" s="35" t="s">
        <v>105</v>
      </c>
      <c r="S39" s="35">
        <v>0.4</v>
      </c>
      <c r="T39" s="35">
        <v>0.41</v>
      </c>
      <c r="U39" s="35">
        <v>1.02</v>
      </c>
      <c r="V39" s="35">
        <v>0.3</v>
      </c>
      <c r="W39" s="35">
        <v>0.81</v>
      </c>
      <c r="X39" s="35">
        <v>0.75</v>
      </c>
      <c r="Y39" s="35">
        <v>0.73</v>
      </c>
      <c r="Z39" s="35">
        <v>1.1000000000000001</v>
      </c>
      <c r="AA39" s="35">
        <v>0.75</v>
      </c>
      <c r="AB39" s="35">
        <v>2.71</v>
      </c>
      <c r="AC39" s="35">
        <v>1.25</v>
      </c>
      <c r="AE39" s="35" t="s">
        <v>74</v>
      </c>
      <c r="AF39" s="35" t="s">
        <v>74</v>
      </c>
      <c r="AG39" s="35" t="s">
        <v>74</v>
      </c>
      <c r="AH39" s="35" t="s">
        <v>74</v>
      </c>
      <c r="AI39" s="35" t="s">
        <v>74</v>
      </c>
      <c r="AJ39" s="35" t="s">
        <v>74</v>
      </c>
      <c r="AK39" s="35" t="s">
        <v>74</v>
      </c>
      <c r="AL39" s="35" t="s">
        <v>74</v>
      </c>
      <c r="AM39" s="35" t="s">
        <v>74</v>
      </c>
      <c r="AN39" s="35" t="s">
        <v>74</v>
      </c>
      <c r="AO39" s="35" t="s">
        <v>74</v>
      </c>
      <c r="AQ39" s="35">
        <v>0.01</v>
      </c>
      <c r="AR39" s="35">
        <v>1.07</v>
      </c>
      <c r="AS39" s="35">
        <v>0.06</v>
      </c>
      <c r="AT39" s="35">
        <v>0.41</v>
      </c>
      <c r="AU39" s="35">
        <v>0.23</v>
      </c>
      <c r="AV39" s="35">
        <v>17</v>
      </c>
      <c r="AW39" s="35">
        <v>100</v>
      </c>
      <c r="AX39" s="35">
        <v>8</v>
      </c>
      <c r="AY39" s="35">
        <v>34</v>
      </c>
      <c r="AZ39" s="35">
        <v>0.14000000000000001</v>
      </c>
    </row>
    <row r="40" spans="1:52" ht="16.5" customHeight="1" x14ac:dyDescent="0.25">
      <c r="A40" s="36" t="s">
        <v>716</v>
      </c>
      <c r="B40" s="36" t="s">
        <v>715</v>
      </c>
      <c r="C40" s="35">
        <v>95</v>
      </c>
      <c r="D40" s="35">
        <v>30</v>
      </c>
      <c r="E40" s="35">
        <v>2.2000000000000002</v>
      </c>
      <c r="F40" s="35">
        <v>10.5</v>
      </c>
      <c r="G40" s="35">
        <v>18</v>
      </c>
      <c r="H40" s="35">
        <v>1.5</v>
      </c>
      <c r="I40" s="35">
        <v>1.5</v>
      </c>
      <c r="J40" s="35">
        <v>31</v>
      </c>
      <c r="L40" s="35">
        <v>24.9</v>
      </c>
      <c r="M40" s="35">
        <v>27</v>
      </c>
      <c r="N40" s="35">
        <v>675</v>
      </c>
      <c r="O40" s="35">
        <v>1485</v>
      </c>
      <c r="P40" s="35" t="s">
        <v>105</v>
      </c>
      <c r="Q40" s="35" t="s">
        <v>105</v>
      </c>
      <c r="S40" s="35">
        <v>0.5</v>
      </c>
      <c r="T40" s="35">
        <v>0.2</v>
      </c>
      <c r="U40" s="35">
        <v>1.4</v>
      </c>
      <c r="V40" s="35">
        <v>0.3</v>
      </c>
      <c r="W40" s="35">
        <v>1.2</v>
      </c>
      <c r="X40" s="35">
        <v>1.2</v>
      </c>
      <c r="Y40" s="35">
        <v>0.5</v>
      </c>
      <c r="Z40" s="35">
        <v>1.5</v>
      </c>
      <c r="AA40" s="35">
        <v>1.6</v>
      </c>
      <c r="AB40" s="35">
        <v>1.7</v>
      </c>
      <c r="AC40" s="35">
        <v>1.2</v>
      </c>
      <c r="AE40" s="35" t="s">
        <v>74</v>
      </c>
      <c r="AF40" s="35" t="s">
        <v>74</v>
      </c>
      <c r="AG40" s="35" t="s">
        <v>74</v>
      </c>
      <c r="AH40" s="35" t="s">
        <v>74</v>
      </c>
      <c r="AI40" s="35">
        <v>7.5</v>
      </c>
      <c r="AJ40" s="35">
        <v>6.6</v>
      </c>
      <c r="AK40" s="35" t="s">
        <v>105</v>
      </c>
      <c r="AL40" s="35" t="s">
        <v>105</v>
      </c>
      <c r="AM40" s="35">
        <v>2024</v>
      </c>
      <c r="AN40" s="35">
        <v>448</v>
      </c>
      <c r="AO40" s="35">
        <v>44</v>
      </c>
      <c r="AQ40" s="35">
        <v>0.85</v>
      </c>
      <c r="AR40" s="35">
        <v>0.45</v>
      </c>
      <c r="AS40" s="35">
        <v>1.5</v>
      </c>
      <c r="AT40" s="35">
        <v>0.88</v>
      </c>
      <c r="AU40" s="35">
        <v>0.04</v>
      </c>
      <c r="AV40" s="35">
        <v>133</v>
      </c>
      <c r="AW40" s="35">
        <v>440</v>
      </c>
      <c r="AX40" s="35">
        <v>33</v>
      </c>
      <c r="AY40" s="35">
        <v>102</v>
      </c>
      <c r="AZ40" s="35">
        <v>3.8</v>
      </c>
    </row>
    <row r="41" spans="1:52" ht="16.5" customHeight="1" x14ac:dyDescent="0.25">
      <c r="A41" s="36" t="s">
        <v>714</v>
      </c>
      <c r="B41" s="36" t="s">
        <v>713</v>
      </c>
      <c r="C41" s="35">
        <v>91</v>
      </c>
      <c r="D41" s="35">
        <v>29</v>
      </c>
      <c r="E41" s="35">
        <v>8.4</v>
      </c>
      <c r="F41" s="35">
        <v>7.8</v>
      </c>
      <c r="G41" s="35">
        <v>0.27</v>
      </c>
      <c r="H41" s="35">
        <v>0.78</v>
      </c>
      <c r="I41" s="35">
        <v>0.35</v>
      </c>
      <c r="J41" s="35">
        <v>4.3</v>
      </c>
      <c r="L41" s="35">
        <v>20</v>
      </c>
      <c r="M41" s="35">
        <v>78</v>
      </c>
      <c r="N41" s="35">
        <v>1090</v>
      </c>
      <c r="O41" s="35">
        <v>2400</v>
      </c>
      <c r="P41" s="35">
        <v>1485</v>
      </c>
      <c r="Q41" s="35">
        <v>3270</v>
      </c>
      <c r="S41" s="35">
        <v>0.46</v>
      </c>
      <c r="T41" s="35">
        <v>0.52</v>
      </c>
      <c r="U41" s="35">
        <v>0.81</v>
      </c>
      <c r="V41" s="35">
        <v>0.2</v>
      </c>
      <c r="W41" s="35">
        <v>1.1200000000000001</v>
      </c>
      <c r="X41" s="35">
        <v>1.93</v>
      </c>
      <c r="Y41" s="35">
        <v>0.81</v>
      </c>
      <c r="Z41" s="35">
        <v>1.83</v>
      </c>
      <c r="AA41" s="35">
        <v>2.34</v>
      </c>
      <c r="AB41" s="35">
        <v>1.1200000000000001</v>
      </c>
      <c r="AC41" s="35">
        <v>1.93</v>
      </c>
      <c r="AE41" s="35" t="s">
        <v>74</v>
      </c>
      <c r="AF41" s="35" t="s">
        <v>74</v>
      </c>
      <c r="AG41" s="35" t="s">
        <v>105</v>
      </c>
      <c r="AH41" s="35">
        <v>4</v>
      </c>
      <c r="AI41" s="35">
        <v>9.6</v>
      </c>
      <c r="AJ41" s="35">
        <v>12.3</v>
      </c>
      <c r="AK41" s="35">
        <v>400</v>
      </c>
      <c r="AL41" s="35">
        <v>880</v>
      </c>
      <c r="AM41" s="35">
        <v>4005</v>
      </c>
      <c r="AN41" s="35" t="s">
        <v>105</v>
      </c>
      <c r="AO41" s="35">
        <v>81.3</v>
      </c>
      <c r="AQ41" s="35">
        <v>0.6</v>
      </c>
      <c r="AR41" s="35">
        <v>0.86</v>
      </c>
      <c r="AS41" s="35">
        <v>0.18</v>
      </c>
      <c r="AT41" s="35">
        <v>0.34</v>
      </c>
      <c r="AU41" s="35">
        <v>0.3</v>
      </c>
      <c r="AV41" s="35">
        <v>40</v>
      </c>
      <c r="AW41" s="35">
        <v>320</v>
      </c>
      <c r="AX41" s="35">
        <v>73</v>
      </c>
      <c r="AY41" s="35">
        <v>70</v>
      </c>
      <c r="AZ41" s="35">
        <v>0.2</v>
      </c>
    </row>
    <row r="42" spans="1:52" ht="16.5" customHeight="1" x14ac:dyDescent="0.25">
      <c r="A42" s="36" t="s">
        <v>712</v>
      </c>
      <c r="B42" s="36" t="s">
        <v>711</v>
      </c>
      <c r="C42" s="35">
        <v>92</v>
      </c>
      <c r="D42" s="35">
        <v>27</v>
      </c>
      <c r="E42" s="35">
        <v>9</v>
      </c>
      <c r="F42" s="35">
        <v>13</v>
      </c>
      <c r="G42" s="35">
        <v>0.09</v>
      </c>
      <c r="H42" s="35">
        <v>0.41</v>
      </c>
      <c r="I42" s="35">
        <v>0.17</v>
      </c>
      <c r="J42" s="35">
        <v>2.2000000000000002</v>
      </c>
      <c r="L42" s="35">
        <v>19.3</v>
      </c>
      <c r="M42" s="35">
        <v>79</v>
      </c>
      <c r="N42" s="35">
        <v>910</v>
      </c>
      <c r="O42" s="35">
        <v>2000</v>
      </c>
      <c r="P42" s="35">
        <v>1460</v>
      </c>
      <c r="Q42" s="35">
        <v>3210</v>
      </c>
      <c r="S42" s="35">
        <v>0.45</v>
      </c>
      <c r="T42" s="35">
        <v>0.32</v>
      </c>
      <c r="U42" s="35">
        <v>0.9</v>
      </c>
      <c r="V42" s="35">
        <v>0.21</v>
      </c>
      <c r="W42" s="35">
        <v>0.3</v>
      </c>
      <c r="X42" s="35">
        <v>0.93</v>
      </c>
      <c r="Y42" s="35">
        <v>0.6</v>
      </c>
      <c r="Z42" s="35">
        <v>1.2</v>
      </c>
      <c r="AA42" s="35">
        <v>2.6</v>
      </c>
      <c r="AB42" s="35">
        <v>1</v>
      </c>
      <c r="AC42" s="35">
        <v>0.6</v>
      </c>
      <c r="AE42" s="35">
        <v>2</v>
      </c>
      <c r="AF42" s="35">
        <v>3.1</v>
      </c>
      <c r="AG42" s="35">
        <v>30.5</v>
      </c>
      <c r="AH42" s="35">
        <v>1.6</v>
      </c>
      <c r="AI42" s="35">
        <v>2.8</v>
      </c>
      <c r="AJ42" s="35">
        <v>5.9</v>
      </c>
      <c r="AK42" s="35">
        <v>400</v>
      </c>
      <c r="AL42" s="35" t="s">
        <v>74</v>
      </c>
      <c r="AM42" s="35">
        <v>1850</v>
      </c>
      <c r="AN42" s="35" t="s">
        <v>74</v>
      </c>
      <c r="AO42" s="35">
        <v>42.2</v>
      </c>
      <c r="AQ42" s="35">
        <v>0.25</v>
      </c>
      <c r="AR42" s="35">
        <v>0.16</v>
      </c>
      <c r="AS42" s="35">
        <v>7.0000000000000007E-2</v>
      </c>
      <c r="AT42" s="35">
        <v>0.2</v>
      </c>
      <c r="AU42" s="35">
        <v>0.43</v>
      </c>
      <c r="AV42" s="35">
        <v>23</v>
      </c>
      <c r="AW42" s="35">
        <v>300</v>
      </c>
      <c r="AX42" s="35">
        <v>30</v>
      </c>
      <c r="AY42" s="35">
        <v>55</v>
      </c>
      <c r="AZ42" s="35">
        <v>0.35</v>
      </c>
    </row>
    <row r="43" spans="1:52" ht="16.5" customHeight="1" x14ac:dyDescent="0.25">
      <c r="A43" s="36" t="s">
        <v>710</v>
      </c>
      <c r="B43" s="36" t="s">
        <v>709</v>
      </c>
      <c r="C43" s="35">
        <v>92</v>
      </c>
      <c r="D43" s="35">
        <v>27</v>
      </c>
      <c r="E43" s="35">
        <v>9</v>
      </c>
      <c r="F43" s="35">
        <v>8.5</v>
      </c>
      <c r="G43" s="35">
        <v>0.14000000000000001</v>
      </c>
      <c r="H43" s="35">
        <v>0.86</v>
      </c>
      <c r="I43" s="35">
        <v>0.55000000000000004</v>
      </c>
      <c r="J43" s="35">
        <v>4.5</v>
      </c>
      <c r="L43" s="35">
        <v>21.1</v>
      </c>
      <c r="M43" s="35">
        <v>82</v>
      </c>
      <c r="N43" s="35">
        <v>1245</v>
      </c>
      <c r="O43" s="35">
        <v>2744</v>
      </c>
      <c r="P43" s="35">
        <v>1497</v>
      </c>
      <c r="Q43" s="35">
        <v>3300</v>
      </c>
      <c r="S43" s="35" t="s">
        <v>138</v>
      </c>
      <c r="T43" s="35" t="s">
        <v>143</v>
      </c>
      <c r="U43" s="35" t="s">
        <v>148</v>
      </c>
      <c r="V43" s="35" t="s">
        <v>152</v>
      </c>
      <c r="W43" s="35" t="s">
        <v>154</v>
      </c>
      <c r="X43" s="35" t="s">
        <v>708</v>
      </c>
      <c r="Y43" s="35" t="s">
        <v>164</v>
      </c>
      <c r="Z43" s="35" t="s">
        <v>169</v>
      </c>
      <c r="AA43" s="35" t="s">
        <v>174</v>
      </c>
      <c r="AB43" s="35" t="s">
        <v>179</v>
      </c>
      <c r="AC43" s="35" t="s">
        <v>184</v>
      </c>
      <c r="AE43" s="35">
        <v>4</v>
      </c>
      <c r="AF43" s="35">
        <v>2.7</v>
      </c>
      <c r="AG43" s="35">
        <v>40</v>
      </c>
      <c r="AH43" s="35">
        <v>3.5</v>
      </c>
      <c r="AI43" s="35">
        <v>9</v>
      </c>
      <c r="AJ43" s="35">
        <v>11.4</v>
      </c>
      <c r="AK43" s="35">
        <v>300</v>
      </c>
      <c r="AL43" s="35">
        <v>880</v>
      </c>
      <c r="AM43" s="35">
        <v>3400</v>
      </c>
      <c r="AN43" s="35" t="s">
        <v>74</v>
      </c>
      <c r="AO43" s="35">
        <v>79.900000000000006</v>
      </c>
      <c r="AQ43" s="35">
        <v>0.2</v>
      </c>
      <c r="AR43" s="35">
        <v>1</v>
      </c>
      <c r="AS43" s="35">
        <v>0.17</v>
      </c>
      <c r="AT43" s="35">
        <v>0.42</v>
      </c>
      <c r="AU43" s="35">
        <v>0.3</v>
      </c>
      <c r="AV43" s="35">
        <v>30</v>
      </c>
      <c r="AW43" s="35">
        <v>300</v>
      </c>
      <c r="AX43" s="35">
        <v>50</v>
      </c>
      <c r="AY43" s="35">
        <v>85</v>
      </c>
      <c r="AZ43" s="35">
        <v>0.35</v>
      </c>
    </row>
    <row r="44" spans="1:52" ht="16.5" customHeight="1" x14ac:dyDescent="0.25">
      <c r="A44" s="36" t="s">
        <v>707</v>
      </c>
      <c r="B44" s="36" t="s">
        <v>706</v>
      </c>
      <c r="C44" s="35">
        <v>88</v>
      </c>
      <c r="D44" s="35">
        <v>29</v>
      </c>
      <c r="E44" s="35">
        <v>7</v>
      </c>
      <c r="F44" s="35">
        <v>7</v>
      </c>
      <c r="G44" s="35">
        <v>0.1</v>
      </c>
      <c r="H44" s="35">
        <v>0.87</v>
      </c>
      <c r="I44" s="35">
        <v>0.52</v>
      </c>
      <c r="J44" s="35">
        <v>5.5</v>
      </c>
      <c r="L44" s="35" t="s">
        <v>74</v>
      </c>
      <c r="M44" s="35" t="s">
        <v>74</v>
      </c>
      <c r="N44" s="35">
        <v>1150</v>
      </c>
      <c r="O44" s="35">
        <v>2530</v>
      </c>
      <c r="P44" s="35">
        <v>1410</v>
      </c>
      <c r="Q44" s="35">
        <v>3108</v>
      </c>
      <c r="S44" s="35">
        <v>0.56999999999999995</v>
      </c>
      <c r="T44" s="35">
        <v>0.63</v>
      </c>
      <c r="U44" s="35">
        <v>0.94</v>
      </c>
      <c r="V44" s="35">
        <v>0.21</v>
      </c>
      <c r="W44" s="35">
        <v>1.06</v>
      </c>
      <c r="X44" s="35">
        <v>0.97</v>
      </c>
      <c r="Y44" s="35">
        <v>0.74</v>
      </c>
      <c r="Z44" s="35">
        <v>1.48</v>
      </c>
      <c r="AA44" s="35">
        <v>2.96</v>
      </c>
      <c r="AB44" s="35">
        <v>1.29</v>
      </c>
      <c r="AC44" s="35">
        <v>1.4</v>
      </c>
      <c r="AE44" s="35" t="s">
        <v>74</v>
      </c>
      <c r="AF44" s="35" t="s">
        <v>74</v>
      </c>
      <c r="AG44" s="35" t="s">
        <v>74</v>
      </c>
      <c r="AH44" s="35" t="s">
        <v>74</v>
      </c>
      <c r="AI44" s="35" t="s">
        <v>74</v>
      </c>
      <c r="AJ44" s="35" t="s">
        <v>74</v>
      </c>
      <c r="AK44" s="35" t="s">
        <v>74</v>
      </c>
      <c r="AL44" s="35" t="s">
        <v>74</v>
      </c>
      <c r="AM44" s="35" t="s">
        <v>74</v>
      </c>
      <c r="AN44" s="35" t="s">
        <v>74</v>
      </c>
      <c r="AO44" s="35" t="s">
        <v>74</v>
      </c>
      <c r="AQ44" s="35">
        <v>0.16</v>
      </c>
      <c r="AR44" s="35">
        <v>1.1499999999999999</v>
      </c>
      <c r="AS44" s="35">
        <v>0.17</v>
      </c>
      <c r="AT44" s="35">
        <v>0.3</v>
      </c>
      <c r="AU44" s="35" t="s">
        <v>74</v>
      </c>
      <c r="AV44" s="35">
        <v>14</v>
      </c>
      <c r="AW44" s="35">
        <v>106</v>
      </c>
      <c r="AX44" s="35">
        <v>53</v>
      </c>
      <c r="AY44" s="35">
        <v>67</v>
      </c>
      <c r="AZ44" s="35">
        <v>0.25</v>
      </c>
    </row>
    <row r="45" spans="1:52" ht="16.5" customHeight="1" x14ac:dyDescent="0.25">
      <c r="A45" s="36" t="s">
        <v>705</v>
      </c>
      <c r="B45" s="36" t="s">
        <v>704</v>
      </c>
      <c r="C45" s="35">
        <v>92</v>
      </c>
      <c r="D45" s="35">
        <v>27</v>
      </c>
      <c r="E45" s="35">
        <v>9</v>
      </c>
      <c r="F45" s="35">
        <v>4</v>
      </c>
      <c r="G45" s="35">
        <v>0.35</v>
      </c>
      <c r="H45" s="35">
        <v>1.3</v>
      </c>
      <c r="I45" s="35">
        <v>1.2</v>
      </c>
      <c r="J45" s="35">
        <v>8.1999999999999993</v>
      </c>
      <c r="L45" s="35">
        <v>22.8</v>
      </c>
      <c r="M45" s="35">
        <v>78</v>
      </c>
      <c r="N45" s="35">
        <v>1275</v>
      </c>
      <c r="O45" s="35">
        <v>2810</v>
      </c>
      <c r="P45" s="35">
        <v>1500</v>
      </c>
      <c r="Q45" s="35">
        <v>3300</v>
      </c>
      <c r="S45" s="35">
        <v>0.6</v>
      </c>
      <c r="T45" s="35">
        <v>0.6</v>
      </c>
      <c r="U45" s="35">
        <v>0.9</v>
      </c>
      <c r="V45" s="35">
        <v>0.2</v>
      </c>
      <c r="W45" s="35">
        <v>1</v>
      </c>
      <c r="X45" s="35">
        <v>1.2</v>
      </c>
      <c r="Y45" s="35">
        <v>0.6</v>
      </c>
      <c r="Z45" s="35">
        <v>1.6</v>
      </c>
      <c r="AA45" s="35">
        <v>2.1</v>
      </c>
      <c r="AB45" s="35">
        <v>1</v>
      </c>
      <c r="AC45" s="35">
        <v>1.5</v>
      </c>
      <c r="AE45" s="35" t="s">
        <v>74</v>
      </c>
      <c r="AF45" s="35">
        <v>1.2</v>
      </c>
      <c r="AG45" s="35">
        <v>55.8</v>
      </c>
      <c r="AH45" s="35">
        <v>5.9</v>
      </c>
      <c r="AI45" s="35">
        <v>11.4</v>
      </c>
      <c r="AJ45" s="35">
        <v>21.8</v>
      </c>
      <c r="AK45" s="35">
        <v>1100</v>
      </c>
      <c r="AL45" s="35">
        <v>1100</v>
      </c>
      <c r="AM45" s="35">
        <v>4818</v>
      </c>
      <c r="AN45" s="35" t="s">
        <v>74</v>
      </c>
      <c r="AO45" s="35">
        <v>120</v>
      </c>
      <c r="AQ45" s="35">
        <v>0.18</v>
      </c>
      <c r="AR45" s="35">
        <v>1.74</v>
      </c>
      <c r="AS45" s="35">
        <v>0.25</v>
      </c>
      <c r="AT45" s="35">
        <v>0.64</v>
      </c>
      <c r="AU45" s="35">
        <v>0.37</v>
      </c>
      <c r="AV45" s="35">
        <v>74</v>
      </c>
      <c r="AW45" s="35">
        <v>600</v>
      </c>
      <c r="AX45" s="35">
        <v>83</v>
      </c>
      <c r="AY45" s="35">
        <v>85</v>
      </c>
      <c r="AZ45" s="35">
        <v>0.33</v>
      </c>
    </row>
    <row r="46" spans="1:52" ht="16.5" customHeight="1" x14ac:dyDescent="0.25">
      <c r="A46" s="36" t="s">
        <v>703</v>
      </c>
      <c r="B46" s="36" t="s">
        <v>702</v>
      </c>
      <c r="C46" s="35">
        <v>99</v>
      </c>
      <c r="D46" s="35">
        <v>0</v>
      </c>
      <c r="E46" s="35">
        <v>98</v>
      </c>
      <c r="F46" s="35" t="s">
        <v>74</v>
      </c>
      <c r="G46" s="35" t="s">
        <v>74</v>
      </c>
      <c r="H46" s="35" t="s">
        <v>74</v>
      </c>
      <c r="I46" s="35" t="s">
        <v>74</v>
      </c>
      <c r="J46" s="35" t="s">
        <v>74</v>
      </c>
      <c r="L46" s="35" t="s">
        <v>74</v>
      </c>
      <c r="M46" s="35">
        <v>200</v>
      </c>
      <c r="N46" s="35">
        <v>3600</v>
      </c>
      <c r="O46" s="35">
        <v>7920</v>
      </c>
      <c r="P46" s="35">
        <v>3615</v>
      </c>
      <c r="Q46" s="35">
        <v>7950</v>
      </c>
      <c r="S46" s="35" t="s">
        <v>74</v>
      </c>
      <c r="T46" s="35" t="s">
        <v>74</v>
      </c>
      <c r="U46" s="35" t="s">
        <v>74</v>
      </c>
      <c r="V46" s="35" t="s">
        <v>74</v>
      </c>
      <c r="W46" s="35" t="s">
        <v>74</v>
      </c>
      <c r="X46" s="35" t="s">
        <v>74</v>
      </c>
      <c r="Y46" s="35" t="s">
        <v>74</v>
      </c>
      <c r="Z46" s="35" t="s">
        <v>74</v>
      </c>
      <c r="AA46" s="35" t="s">
        <v>74</v>
      </c>
      <c r="AB46" s="35" t="s">
        <v>74</v>
      </c>
      <c r="AC46" s="35" t="s">
        <v>74</v>
      </c>
      <c r="AE46" s="35" t="s">
        <v>74</v>
      </c>
      <c r="AF46" s="35" t="s">
        <v>74</v>
      </c>
      <c r="AG46" s="35">
        <v>7.9</v>
      </c>
      <c r="AH46" s="35" t="s">
        <v>74</v>
      </c>
      <c r="AI46" s="35" t="s">
        <v>74</v>
      </c>
      <c r="AJ46" s="35" t="s">
        <v>74</v>
      </c>
      <c r="AK46" s="35" t="s">
        <v>74</v>
      </c>
      <c r="AL46" s="35" t="s">
        <v>74</v>
      </c>
      <c r="AM46" s="35" t="s">
        <v>74</v>
      </c>
      <c r="AN46" s="35" t="s">
        <v>74</v>
      </c>
      <c r="AO46" s="35" t="s">
        <v>74</v>
      </c>
      <c r="AQ46" s="35" t="s">
        <v>74</v>
      </c>
      <c r="AR46" s="35" t="s">
        <v>74</v>
      </c>
      <c r="AS46" s="35" t="s">
        <v>74</v>
      </c>
      <c r="AT46" s="35" t="s">
        <v>74</v>
      </c>
      <c r="AU46" s="35" t="s">
        <v>74</v>
      </c>
      <c r="AV46" s="35" t="s">
        <v>74</v>
      </c>
      <c r="AW46" s="35" t="s">
        <v>74</v>
      </c>
      <c r="AX46" s="35" t="s">
        <v>74</v>
      </c>
      <c r="AY46" s="35" t="s">
        <v>74</v>
      </c>
      <c r="AZ46" s="35" t="s">
        <v>74</v>
      </c>
    </row>
    <row r="47" spans="1:52" ht="16.5" customHeight="1" x14ac:dyDescent="0.25">
      <c r="A47" s="36" t="s">
        <v>701</v>
      </c>
      <c r="B47" s="36" t="s">
        <v>700</v>
      </c>
      <c r="C47" s="35">
        <v>99</v>
      </c>
      <c r="D47" s="35">
        <v>0</v>
      </c>
      <c r="E47" s="35">
        <v>98</v>
      </c>
      <c r="F47" s="35" t="s">
        <v>74</v>
      </c>
      <c r="G47" s="35" t="s">
        <v>74</v>
      </c>
      <c r="H47" s="35" t="s">
        <v>74</v>
      </c>
      <c r="I47" s="35" t="s">
        <v>74</v>
      </c>
      <c r="J47" s="35" t="s">
        <v>74</v>
      </c>
      <c r="L47" s="35" t="s">
        <v>74</v>
      </c>
      <c r="M47" s="35" t="s">
        <v>74</v>
      </c>
      <c r="N47" s="35">
        <v>3800</v>
      </c>
      <c r="O47" s="35">
        <v>8377</v>
      </c>
      <c r="P47" s="35">
        <v>3820</v>
      </c>
      <c r="Q47" s="35">
        <v>8422</v>
      </c>
      <c r="S47" s="35" t="s">
        <v>74</v>
      </c>
      <c r="T47" s="35" t="s">
        <v>74</v>
      </c>
      <c r="U47" s="35" t="s">
        <v>74</v>
      </c>
      <c r="V47" s="35" t="s">
        <v>74</v>
      </c>
      <c r="W47" s="35" t="s">
        <v>74</v>
      </c>
      <c r="X47" s="35" t="s">
        <v>74</v>
      </c>
      <c r="Y47" s="35" t="s">
        <v>74</v>
      </c>
      <c r="Z47" s="35" t="s">
        <v>74</v>
      </c>
      <c r="AA47" s="35" t="s">
        <v>74</v>
      </c>
      <c r="AB47" s="35" t="s">
        <v>74</v>
      </c>
      <c r="AC47" s="35" t="s">
        <v>74</v>
      </c>
      <c r="AE47" s="35" t="s">
        <v>74</v>
      </c>
      <c r="AF47" s="35" t="s">
        <v>74</v>
      </c>
      <c r="AG47" s="35" t="s">
        <v>74</v>
      </c>
      <c r="AH47" s="35" t="s">
        <v>74</v>
      </c>
      <c r="AI47" s="35" t="s">
        <v>74</v>
      </c>
      <c r="AJ47" s="35" t="s">
        <v>74</v>
      </c>
      <c r="AK47" s="35" t="s">
        <v>74</v>
      </c>
      <c r="AL47" s="35" t="s">
        <v>74</v>
      </c>
      <c r="AM47" s="35" t="s">
        <v>74</v>
      </c>
      <c r="AN47" s="35" t="s">
        <v>74</v>
      </c>
      <c r="AO47" s="35" t="s">
        <v>74</v>
      </c>
      <c r="AQ47" s="35" t="s">
        <v>74</v>
      </c>
      <c r="AR47" s="35" t="s">
        <v>74</v>
      </c>
      <c r="AS47" s="35" t="s">
        <v>74</v>
      </c>
      <c r="AT47" s="35" t="s">
        <v>74</v>
      </c>
      <c r="AU47" s="35" t="s">
        <v>74</v>
      </c>
      <c r="AV47" s="35" t="s">
        <v>74</v>
      </c>
      <c r="AW47" s="35" t="s">
        <v>74</v>
      </c>
      <c r="AX47" s="35" t="s">
        <v>74</v>
      </c>
      <c r="AY47" s="35" t="s">
        <v>74</v>
      </c>
      <c r="AZ47" s="35" t="s">
        <v>74</v>
      </c>
    </row>
    <row r="48" spans="1:52" ht="16.5" customHeight="1" x14ac:dyDescent="0.25">
      <c r="A48" s="36" t="s">
        <v>699</v>
      </c>
      <c r="B48" s="36" t="s">
        <v>698</v>
      </c>
      <c r="C48" s="35">
        <v>99</v>
      </c>
      <c r="D48" s="35">
        <v>0</v>
      </c>
      <c r="E48" s="35">
        <v>98</v>
      </c>
      <c r="F48" s="35" t="s">
        <v>74</v>
      </c>
      <c r="G48" s="35" t="s">
        <v>74</v>
      </c>
      <c r="H48" s="35" t="s">
        <v>74</v>
      </c>
      <c r="I48" s="35" t="s">
        <v>74</v>
      </c>
      <c r="J48" s="35" t="s">
        <v>74</v>
      </c>
      <c r="L48" s="35" t="s">
        <v>74</v>
      </c>
      <c r="M48" s="35" t="s">
        <v>74</v>
      </c>
      <c r="N48" s="35">
        <v>3750</v>
      </c>
      <c r="O48" s="35">
        <v>8250</v>
      </c>
      <c r="P48" s="35">
        <v>3750</v>
      </c>
      <c r="Q48" s="35">
        <v>8250</v>
      </c>
      <c r="S48" s="35" t="s">
        <v>74</v>
      </c>
      <c r="T48" s="35" t="s">
        <v>74</v>
      </c>
      <c r="U48" s="35" t="s">
        <v>74</v>
      </c>
      <c r="V48" s="35" t="s">
        <v>74</v>
      </c>
      <c r="W48" s="35" t="s">
        <v>74</v>
      </c>
      <c r="X48" s="35" t="s">
        <v>74</v>
      </c>
      <c r="Y48" s="35" t="s">
        <v>74</v>
      </c>
      <c r="Z48" s="35" t="s">
        <v>74</v>
      </c>
      <c r="AA48" s="35" t="s">
        <v>74</v>
      </c>
      <c r="AB48" s="35" t="s">
        <v>74</v>
      </c>
      <c r="AC48" s="35" t="s">
        <v>74</v>
      </c>
      <c r="AE48" s="35" t="s">
        <v>74</v>
      </c>
      <c r="AF48" s="35" t="s">
        <v>74</v>
      </c>
      <c r="AG48" s="35" t="s">
        <v>74</v>
      </c>
      <c r="AH48" s="35" t="s">
        <v>74</v>
      </c>
      <c r="AI48" s="35" t="s">
        <v>74</v>
      </c>
      <c r="AJ48" s="35" t="s">
        <v>74</v>
      </c>
      <c r="AK48" s="35" t="s">
        <v>74</v>
      </c>
      <c r="AL48" s="35" t="s">
        <v>74</v>
      </c>
      <c r="AM48" s="35" t="s">
        <v>74</v>
      </c>
      <c r="AN48" s="35" t="s">
        <v>74</v>
      </c>
      <c r="AO48" s="35" t="s">
        <v>74</v>
      </c>
      <c r="AQ48" s="35" t="s">
        <v>74</v>
      </c>
      <c r="AR48" s="35" t="s">
        <v>74</v>
      </c>
      <c r="AS48" s="35" t="s">
        <v>74</v>
      </c>
      <c r="AT48" s="35" t="s">
        <v>74</v>
      </c>
      <c r="AU48" s="35" t="s">
        <v>74</v>
      </c>
      <c r="AV48" s="35" t="s">
        <v>74</v>
      </c>
      <c r="AW48" s="35" t="s">
        <v>74</v>
      </c>
      <c r="AX48" s="35" t="s">
        <v>74</v>
      </c>
      <c r="AY48" s="35" t="s">
        <v>74</v>
      </c>
      <c r="AZ48" s="35" t="s">
        <v>74</v>
      </c>
    </row>
    <row r="49" spans="1:52" ht="16.5" customHeight="1" x14ac:dyDescent="0.25">
      <c r="A49" s="36" t="s">
        <v>697</v>
      </c>
      <c r="B49" s="36" t="s">
        <v>696</v>
      </c>
      <c r="C49" s="35">
        <v>99</v>
      </c>
      <c r="D49" s="35">
        <v>0</v>
      </c>
      <c r="E49" s="35">
        <v>99</v>
      </c>
      <c r="F49" s="35" t="s">
        <v>74</v>
      </c>
      <c r="G49" s="35" t="s">
        <v>74</v>
      </c>
      <c r="H49" s="35" t="s">
        <v>74</v>
      </c>
      <c r="I49" s="35" t="s">
        <v>74</v>
      </c>
      <c r="J49" s="35" t="s">
        <v>74</v>
      </c>
      <c r="L49" s="35" t="s">
        <v>74</v>
      </c>
      <c r="M49" s="35" t="s">
        <v>74</v>
      </c>
      <c r="N49" s="35">
        <v>4000</v>
      </c>
      <c r="O49" s="35">
        <v>8800</v>
      </c>
      <c r="P49" s="35">
        <v>3955</v>
      </c>
      <c r="Q49" s="35">
        <v>8700</v>
      </c>
      <c r="S49" s="35" t="s">
        <v>74</v>
      </c>
      <c r="T49" s="35" t="s">
        <v>74</v>
      </c>
      <c r="U49" s="35" t="s">
        <v>74</v>
      </c>
      <c r="V49" s="35" t="s">
        <v>74</v>
      </c>
      <c r="W49" s="35" t="s">
        <v>74</v>
      </c>
      <c r="X49" s="35" t="s">
        <v>74</v>
      </c>
      <c r="Y49" s="35" t="s">
        <v>74</v>
      </c>
      <c r="Z49" s="35" t="s">
        <v>74</v>
      </c>
      <c r="AA49" s="35" t="s">
        <v>74</v>
      </c>
      <c r="AB49" s="35" t="s">
        <v>74</v>
      </c>
      <c r="AC49" s="35" t="s">
        <v>74</v>
      </c>
      <c r="AE49" s="35" t="s">
        <v>74</v>
      </c>
      <c r="AF49" s="35" t="s">
        <v>74</v>
      </c>
      <c r="AG49" s="35">
        <v>56.8</v>
      </c>
      <c r="AH49" s="35" t="s">
        <v>74</v>
      </c>
      <c r="AI49" s="35" t="s">
        <v>74</v>
      </c>
      <c r="AJ49" s="35" t="s">
        <v>74</v>
      </c>
      <c r="AK49" s="35" t="s">
        <v>74</v>
      </c>
      <c r="AL49" s="35" t="s">
        <v>74</v>
      </c>
      <c r="AM49" s="35" t="s">
        <v>74</v>
      </c>
      <c r="AN49" s="35" t="s">
        <v>74</v>
      </c>
      <c r="AO49" s="35" t="s">
        <v>74</v>
      </c>
      <c r="AQ49" s="35" t="s">
        <v>74</v>
      </c>
      <c r="AR49" s="35" t="s">
        <v>74</v>
      </c>
      <c r="AS49" s="35" t="s">
        <v>74</v>
      </c>
      <c r="AT49" s="35" t="s">
        <v>74</v>
      </c>
      <c r="AU49" s="35" t="s">
        <v>74</v>
      </c>
      <c r="AV49" s="35" t="s">
        <v>74</v>
      </c>
      <c r="AW49" s="35" t="s">
        <v>74</v>
      </c>
      <c r="AX49" s="35" t="s">
        <v>74</v>
      </c>
      <c r="AY49" s="35" t="s">
        <v>74</v>
      </c>
      <c r="AZ49" s="35" t="s">
        <v>74</v>
      </c>
    </row>
    <row r="50" spans="1:52" ht="16.5" customHeight="1" x14ac:dyDescent="0.25">
      <c r="A50" s="36" t="s">
        <v>695</v>
      </c>
      <c r="B50" s="36" t="s">
        <v>694</v>
      </c>
      <c r="C50" s="35">
        <v>93</v>
      </c>
      <c r="D50" s="35">
        <v>85</v>
      </c>
      <c r="E50" s="35">
        <v>4</v>
      </c>
      <c r="F50" s="35">
        <v>1.5</v>
      </c>
      <c r="G50" s="35">
        <v>0.2</v>
      </c>
      <c r="H50" s="35">
        <v>0.7</v>
      </c>
      <c r="I50" s="35">
        <v>0.7</v>
      </c>
      <c r="J50" s="35">
        <v>3.9</v>
      </c>
      <c r="L50" s="35">
        <v>70.099999999999994</v>
      </c>
      <c r="M50" s="35">
        <v>63</v>
      </c>
      <c r="N50" s="35">
        <v>1310</v>
      </c>
      <c r="O50" s="35">
        <v>2880</v>
      </c>
      <c r="P50" s="35">
        <v>1030</v>
      </c>
      <c r="Q50" s="35">
        <v>2270</v>
      </c>
      <c r="S50" s="35" t="s">
        <v>141</v>
      </c>
      <c r="T50" s="35" t="s">
        <v>693</v>
      </c>
      <c r="U50" s="35" t="s">
        <v>151</v>
      </c>
      <c r="V50" s="35">
        <v>0.5</v>
      </c>
      <c r="W50" s="35" t="s">
        <v>157</v>
      </c>
      <c r="X50" s="35" t="s">
        <v>162</v>
      </c>
      <c r="Y50" s="35" t="s">
        <v>167</v>
      </c>
      <c r="Z50" s="35" t="s">
        <v>172</v>
      </c>
      <c r="AA50" s="35" t="s">
        <v>177</v>
      </c>
      <c r="AB50" s="35" t="s">
        <v>182</v>
      </c>
      <c r="AC50" s="35" t="s">
        <v>187</v>
      </c>
      <c r="AE50" s="35" t="s">
        <v>74</v>
      </c>
      <c r="AF50" s="35" t="s">
        <v>74</v>
      </c>
      <c r="AG50" s="35" t="s">
        <v>74</v>
      </c>
      <c r="AH50" s="35" t="s">
        <v>74</v>
      </c>
      <c r="AI50" s="35">
        <v>2</v>
      </c>
      <c r="AJ50" s="35">
        <v>11</v>
      </c>
      <c r="AK50" s="35">
        <v>44</v>
      </c>
      <c r="AL50" s="35">
        <v>220</v>
      </c>
      <c r="AM50" s="35">
        <v>880</v>
      </c>
      <c r="AN50" s="35">
        <v>70</v>
      </c>
      <c r="AO50" s="35">
        <v>30.8</v>
      </c>
      <c r="AQ50" s="35">
        <v>0.7</v>
      </c>
      <c r="AR50" s="35">
        <v>0.3</v>
      </c>
      <c r="AS50" s="35">
        <v>0.28000000000000003</v>
      </c>
      <c r="AT50" s="35">
        <v>0.2</v>
      </c>
      <c r="AU50" s="35">
        <v>1.4</v>
      </c>
      <c r="AV50" s="35">
        <v>9</v>
      </c>
      <c r="AW50" s="35">
        <v>70</v>
      </c>
      <c r="AX50" s="35">
        <v>7</v>
      </c>
      <c r="AY50" s="35">
        <v>55</v>
      </c>
      <c r="AZ50" s="35">
        <v>0.8</v>
      </c>
    </row>
    <row r="51" spans="1:52" ht="16.5" customHeight="1" x14ac:dyDescent="0.25">
      <c r="A51" s="36" t="s">
        <v>692</v>
      </c>
      <c r="B51" s="36" t="s">
        <v>691</v>
      </c>
      <c r="C51" s="35">
        <v>88</v>
      </c>
      <c r="D51" s="35">
        <v>59</v>
      </c>
      <c r="E51" s="35">
        <v>5.6</v>
      </c>
      <c r="F51" s="35">
        <v>1</v>
      </c>
      <c r="G51" s="35">
        <v>5.5</v>
      </c>
      <c r="H51" s="35">
        <v>3.3</v>
      </c>
      <c r="I51" s="35">
        <v>3.3</v>
      </c>
      <c r="J51" s="35">
        <v>20.2</v>
      </c>
      <c r="L51" s="35" t="s">
        <v>105</v>
      </c>
      <c r="M51" s="35">
        <v>59</v>
      </c>
      <c r="N51" s="35">
        <v>1080</v>
      </c>
      <c r="O51" s="35">
        <v>2600</v>
      </c>
      <c r="P51" s="35">
        <v>1125</v>
      </c>
      <c r="Q51" s="35">
        <v>2480</v>
      </c>
      <c r="S51" s="35">
        <v>1.72</v>
      </c>
      <c r="T51" s="35">
        <v>0.56999999999999995</v>
      </c>
      <c r="U51" s="35">
        <v>5.17</v>
      </c>
      <c r="V51" s="35">
        <v>0.67</v>
      </c>
      <c r="W51" s="35">
        <v>2.4900000000000002</v>
      </c>
      <c r="X51" s="35">
        <v>3.64</v>
      </c>
      <c r="Y51" s="35">
        <v>1.53</v>
      </c>
      <c r="Z51" s="35">
        <v>3.26</v>
      </c>
      <c r="AA51" s="35">
        <v>4.6900000000000004</v>
      </c>
      <c r="AB51" s="35">
        <v>3.73</v>
      </c>
      <c r="AC51" s="35">
        <v>2.68</v>
      </c>
      <c r="AE51" s="35" t="s">
        <v>74</v>
      </c>
      <c r="AF51" s="35" t="s">
        <v>74</v>
      </c>
      <c r="AG51" s="35">
        <v>18.5</v>
      </c>
      <c r="AH51" s="35">
        <v>1.3</v>
      </c>
      <c r="AI51" s="35">
        <v>6.5</v>
      </c>
      <c r="AJ51" s="35">
        <v>8.6999999999999993</v>
      </c>
      <c r="AK51" s="35" t="s">
        <v>105</v>
      </c>
      <c r="AL51" s="35" t="s">
        <v>105</v>
      </c>
      <c r="AM51" s="35">
        <v>3510</v>
      </c>
      <c r="AN51" s="35">
        <v>250</v>
      </c>
      <c r="AO51" s="35">
        <v>60.8</v>
      </c>
      <c r="AQ51" s="35">
        <v>1.07</v>
      </c>
      <c r="AR51" s="35">
        <v>0.39</v>
      </c>
      <c r="AS51" s="35" t="s">
        <v>105</v>
      </c>
      <c r="AT51" s="35">
        <v>0.21</v>
      </c>
      <c r="AU51" s="35">
        <v>0.24</v>
      </c>
      <c r="AV51" s="35">
        <v>23</v>
      </c>
      <c r="AW51" s="35">
        <v>360</v>
      </c>
      <c r="AX51" s="35">
        <v>15</v>
      </c>
      <c r="AY51" s="35">
        <v>100</v>
      </c>
      <c r="AZ51" s="35" t="s">
        <v>690</v>
      </c>
    </row>
    <row r="52" spans="1:52" ht="16.5" customHeight="1" x14ac:dyDescent="0.25">
      <c r="A52" s="36" t="s">
        <v>689</v>
      </c>
      <c r="B52" s="36" t="s">
        <v>688</v>
      </c>
      <c r="C52" s="35">
        <v>93</v>
      </c>
      <c r="D52" s="35">
        <v>72</v>
      </c>
      <c r="E52" s="35">
        <v>10</v>
      </c>
      <c r="F52" s="35">
        <v>1</v>
      </c>
      <c r="G52" s="35">
        <v>2</v>
      </c>
      <c r="H52" s="35">
        <v>1</v>
      </c>
      <c r="I52" s="35">
        <v>1</v>
      </c>
      <c r="J52" s="35">
        <v>10.4</v>
      </c>
      <c r="L52" s="35">
        <v>56.6</v>
      </c>
      <c r="M52" s="35">
        <v>73</v>
      </c>
      <c r="N52" s="35">
        <v>1450</v>
      </c>
      <c r="O52" s="35">
        <v>3190</v>
      </c>
      <c r="P52" s="35">
        <v>1420</v>
      </c>
      <c r="Q52" s="35">
        <v>3130</v>
      </c>
      <c r="S52" s="35">
        <v>2.2000000000000002</v>
      </c>
      <c r="T52" s="35">
        <v>0.72</v>
      </c>
      <c r="U52" s="35">
        <v>5.7</v>
      </c>
      <c r="V52" s="35">
        <v>0.8</v>
      </c>
      <c r="W52" s="35">
        <v>2.88</v>
      </c>
      <c r="X52" s="35">
        <v>3</v>
      </c>
      <c r="Y52" s="35">
        <v>1.91</v>
      </c>
      <c r="Z52" s="35">
        <v>5.7</v>
      </c>
      <c r="AA52" s="35">
        <v>5.0999999999999996</v>
      </c>
      <c r="AB52" s="35">
        <v>5.64</v>
      </c>
      <c r="AC52" s="35">
        <v>2.56</v>
      </c>
      <c r="AE52" s="35" t="s">
        <v>74</v>
      </c>
      <c r="AF52" s="35" t="s">
        <v>74</v>
      </c>
      <c r="AG52" s="35">
        <v>16.8</v>
      </c>
      <c r="AH52" s="35">
        <v>0.1</v>
      </c>
      <c r="AI52" s="35">
        <v>8.6999999999999993</v>
      </c>
      <c r="AJ52" s="35">
        <v>21.7</v>
      </c>
      <c r="AK52" s="35">
        <v>200</v>
      </c>
      <c r="AL52" s="35">
        <v>520</v>
      </c>
      <c r="AM52" s="35">
        <v>5240</v>
      </c>
      <c r="AN52" s="35">
        <v>588</v>
      </c>
      <c r="AO52" s="35">
        <v>141.6</v>
      </c>
      <c r="AQ52" s="35">
        <v>0.73</v>
      </c>
      <c r="AR52" s="35">
        <v>1.5</v>
      </c>
      <c r="AS52" s="35">
        <v>0.9</v>
      </c>
      <c r="AT52" s="35">
        <v>0.18</v>
      </c>
      <c r="AU52" s="35">
        <v>0.62</v>
      </c>
      <c r="AV52" s="35">
        <v>5</v>
      </c>
      <c r="AW52" s="35">
        <v>110</v>
      </c>
      <c r="AX52" s="35">
        <v>5</v>
      </c>
      <c r="AY52" s="35">
        <v>100</v>
      </c>
      <c r="AZ52" s="35">
        <v>2</v>
      </c>
    </row>
    <row r="53" spans="1:52" ht="16.5" customHeight="1" x14ac:dyDescent="0.25">
      <c r="A53" s="36" t="s">
        <v>687</v>
      </c>
      <c r="B53" s="36" t="s">
        <v>686</v>
      </c>
      <c r="C53" s="35">
        <v>92</v>
      </c>
      <c r="D53" s="35">
        <v>62</v>
      </c>
      <c r="E53" s="35">
        <v>9.1999999999999993</v>
      </c>
      <c r="F53" s="35">
        <v>1</v>
      </c>
      <c r="G53" s="35">
        <v>4.8</v>
      </c>
      <c r="H53" s="35">
        <v>3</v>
      </c>
      <c r="I53" s="35">
        <v>3</v>
      </c>
      <c r="J53" s="35">
        <v>19</v>
      </c>
      <c r="L53" s="35">
        <v>48.6</v>
      </c>
      <c r="M53" s="35">
        <v>71</v>
      </c>
      <c r="N53" s="35">
        <v>1340</v>
      </c>
      <c r="O53" s="35">
        <v>2950</v>
      </c>
      <c r="P53" s="35">
        <v>1460</v>
      </c>
      <c r="Q53" s="35">
        <v>3220</v>
      </c>
      <c r="S53" s="35" t="s">
        <v>685</v>
      </c>
      <c r="T53" s="35" t="s">
        <v>684</v>
      </c>
      <c r="U53" s="35" t="s">
        <v>683</v>
      </c>
      <c r="V53" s="35">
        <v>0.5</v>
      </c>
      <c r="W53" s="35" t="s">
        <v>682</v>
      </c>
      <c r="X53" s="35" t="s">
        <v>681</v>
      </c>
      <c r="Y53" s="35" t="s">
        <v>680</v>
      </c>
      <c r="Z53" s="35" t="s">
        <v>679</v>
      </c>
      <c r="AA53" s="35" t="s">
        <v>678</v>
      </c>
      <c r="AB53" s="35" t="s">
        <v>677</v>
      </c>
      <c r="AC53" s="35">
        <v>2.2799999999999998</v>
      </c>
      <c r="AE53" s="35" t="s">
        <v>74</v>
      </c>
      <c r="AF53" s="35" t="s">
        <v>74</v>
      </c>
      <c r="AG53" s="35">
        <v>5.7</v>
      </c>
      <c r="AH53" s="35">
        <v>0.2</v>
      </c>
      <c r="AI53" s="35">
        <v>4.8</v>
      </c>
      <c r="AJ53" s="35">
        <v>8.8000000000000007</v>
      </c>
      <c r="AK53" s="35">
        <v>150</v>
      </c>
      <c r="AL53" s="35">
        <v>1000</v>
      </c>
      <c r="AM53" s="35">
        <v>3080</v>
      </c>
      <c r="AN53" s="35">
        <v>150</v>
      </c>
      <c r="AO53" s="35">
        <v>55</v>
      </c>
      <c r="AQ53" s="35">
        <v>0.68</v>
      </c>
      <c r="AR53" s="35">
        <v>0.96</v>
      </c>
      <c r="AS53" s="35">
        <v>0.8</v>
      </c>
      <c r="AT53" s="35">
        <v>0.21</v>
      </c>
      <c r="AU53" s="35">
        <v>0.45</v>
      </c>
      <c r="AV53" s="35">
        <v>40</v>
      </c>
      <c r="AW53" s="35">
        <v>880</v>
      </c>
      <c r="AX53" s="35">
        <v>8</v>
      </c>
      <c r="AY53" s="35">
        <v>92</v>
      </c>
      <c r="AZ53" s="35">
        <v>2</v>
      </c>
    </row>
    <row r="54" spans="1:52" ht="16.5" customHeight="1" x14ac:dyDescent="0.25">
      <c r="A54" s="36" t="s">
        <v>676</v>
      </c>
      <c r="B54" s="36" t="s">
        <v>675</v>
      </c>
      <c r="C54" s="35">
        <v>91</v>
      </c>
      <c r="D54" s="35">
        <v>65</v>
      </c>
      <c r="E54" s="35">
        <v>10</v>
      </c>
      <c r="F54" s="35">
        <v>1</v>
      </c>
      <c r="G54" s="35">
        <v>4</v>
      </c>
      <c r="H54" s="35">
        <v>2.85</v>
      </c>
      <c r="I54" s="35">
        <v>2.85</v>
      </c>
      <c r="J54" s="35">
        <v>15</v>
      </c>
      <c r="L54" s="35">
        <v>52.7</v>
      </c>
      <c r="M54" s="35">
        <v>73</v>
      </c>
      <c r="N54" s="35">
        <v>1280</v>
      </c>
      <c r="O54" s="35">
        <v>2820</v>
      </c>
      <c r="P54" s="35">
        <v>1340</v>
      </c>
      <c r="Q54" s="35">
        <v>2950</v>
      </c>
      <c r="S54" s="35">
        <v>1.9</v>
      </c>
      <c r="T54" s="35">
        <v>0.6</v>
      </c>
      <c r="U54" s="35">
        <v>4.9000000000000004</v>
      </c>
      <c r="V54" s="35">
        <v>0.75</v>
      </c>
      <c r="W54" s="35">
        <v>2.7</v>
      </c>
      <c r="X54" s="35">
        <v>3</v>
      </c>
      <c r="Y54" s="35">
        <v>1.5</v>
      </c>
      <c r="Z54" s="35">
        <v>3.4</v>
      </c>
      <c r="AA54" s="35">
        <v>5</v>
      </c>
      <c r="AB54" s="35">
        <v>3.38</v>
      </c>
      <c r="AC54" s="35">
        <v>2.39</v>
      </c>
      <c r="AE54" s="35" t="s">
        <v>74</v>
      </c>
      <c r="AF54" s="35" t="s">
        <v>74</v>
      </c>
      <c r="AG54" s="35">
        <v>5.6</v>
      </c>
      <c r="AH54" s="35">
        <v>0.1</v>
      </c>
      <c r="AI54" s="35">
        <v>7.5</v>
      </c>
      <c r="AJ54" s="35">
        <v>20.3</v>
      </c>
      <c r="AK54" s="35">
        <v>200</v>
      </c>
      <c r="AL54" s="35">
        <v>220</v>
      </c>
      <c r="AM54" s="35">
        <v>5100</v>
      </c>
      <c r="AN54" s="35">
        <v>600</v>
      </c>
      <c r="AO54" s="35">
        <v>135</v>
      </c>
      <c r="AQ54" s="35">
        <v>0.88</v>
      </c>
      <c r="AR54" s="35">
        <v>0.9</v>
      </c>
      <c r="AS54" s="35">
        <v>0.6</v>
      </c>
      <c r="AT54" s="35">
        <v>0.27</v>
      </c>
      <c r="AU54" s="35">
        <v>0.54</v>
      </c>
      <c r="AV54" s="35">
        <v>9</v>
      </c>
      <c r="AW54" s="35">
        <v>226</v>
      </c>
      <c r="AX54" s="35">
        <v>9</v>
      </c>
      <c r="AY54" s="35">
        <v>100</v>
      </c>
      <c r="AZ54" s="35">
        <v>2.7</v>
      </c>
    </row>
    <row r="55" spans="1:52" ht="16.5" customHeight="1" x14ac:dyDescent="0.25">
      <c r="A55" s="36" t="s">
        <v>674</v>
      </c>
      <c r="B55" s="36" t="s">
        <v>673</v>
      </c>
      <c r="C55" s="35">
        <v>92</v>
      </c>
      <c r="D55" s="35">
        <v>57</v>
      </c>
      <c r="E55" s="35">
        <v>8</v>
      </c>
      <c r="F55" s="35">
        <v>1</v>
      </c>
      <c r="G55" s="35">
        <v>7.7</v>
      </c>
      <c r="H55" s="35">
        <v>3.8</v>
      </c>
      <c r="I55" s="35">
        <v>3.8</v>
      </c>
      <c r="J55" s="35">
        <v>26</v>
      </c>
      <c r="L55" s="35">
        <v>46.2</v>
      </c>
      <c r="M55" s="35">
        <v>70</v>
      </c>
      <c r="N55" s="35">
        <v>1350</v>
      </c>
      <c r="O55" s="35">
        <v>2970</v>
      </c>
      <c r="P55" s="35">
        <v>1160</v>
      </c>
      <c r="Q55" s="35">
        <v>2550</v>
      </c>
      <c r="S55" s="35">
        <v>1.8</v>
      </c>
      <c r="T55" s="35">
        <v>0.4</v>
      </c>
      <c r="U55" s="35">
        <v>6.6</v>
      </c>
      <c r="V55" s="35">
        <v>0.6</v>
      </c>
      <c r="W55" s="35">
        <v>2.6</v>
      </c>
      <c r="X55" s="35">
        <v>3.5</v>
      </c>
      <c r="Y55" s="35">
        <v>1.3</v>
      </c>
      <c r="Z55" s="35">
        <v>3.33</v>
      </c>
      <c r="AA55" s="35">
        <v>4.9000000000000004</v>
      </c>
      <c r="AB55" s="35">
        <v>4.0999999999999996</v>
      </c>
      <c r="AC55" s="35">
        <v>2.5</v>
      </c>
      <c r="AE55" s="35" t="s">
        <v>74</v>
      </c>
      <c r="AF55" s="35" t="s">
        <v>74</v>
      </c>
      <c r="AG55" s="35">
        <v>5.6</v>
      </c>
      <c r="AH55" s="35">
        <v>1.5</v>
      </c>
      <c r="AI55" s="35">
        <v>7</v>
      </c>
      <c r="AJ55" s="35">
        <v>8.4</v>
      </c>
      <c r="AK55" s="35">
        <v>200</v>
      </c>
      <c r="AL55" s="35" t="s">
        <v>105</v>
      </c>
      <c r="AM55" s="35">
        <v>3429</v>
      </c>
      <c r="AN55" s="35" t="s">
        <v>105</v>
      </c>
      <c r="AO55" s="35">
        <v>35</v>
      </c>
      <c r="AQ55" s="35">
        <v>0.1</v>
      </c>
      <c r="AR55" s="35">
        <v>0.3</v>
      </c>
      <c r="AS55" s="35" t="s">
        <v>105</v>
      </c>
      <c r="AT55" s="35">
        <v>0.15</v>
      </c>
      <c r="AU55" s="35">
        <v>0.45</v>
      </c>
      <c r="AV55" s="35">
        <v>8</v>
      </c>
      <c r="AW55" s="35">
        <v>280</v>
      </c>
      <c r="AX55" s="35">
        <v>8</v>
      </c>
      <c r="AY55" s="35">
        <v>88</v>
      </c>
      <c r="AZ55" s="35">
        <v>1.8</v>
      </c>
    </row>
    <row r="56" spans="1:52" ht="16.5" customHeight="1" x14ac:dyDescent="0.25">
      <c r="A56" s="36" t="s">
        <v>672</v>
      </c>
      <c r="B56" s="36" t="s">
        <v>671</v>
      </c>
      <c r="C56" s="35">
        <v>92</v>
      </c>
      <c r="D56" s="35">
        <v>65</v>
      </c>
      <c r="E56" s="35">
        <v>5.5</v>
      </c>
      <c r="F56" s="35">
        <v>1</v>
      </c>
      <c r="G56" s="35">
        <v>4.5</v>
      </c>
      <c r="H56" s="35">
        <v>2.7</v>
      </c>
      <c r="I56" s="35">
        <v>2.7</v>
      </c>
      <c r="J56" s="35">
        <v>16</v>
      </c>
      <c r="L56" s="35">
        <v>52.7</v>
      </c>
      <c r="M56" s="35">
        <v>70</v>
      </c>
      <c r="N56" s="35">
        <v>1300</v>
      </c>
      <c r="O56" s="35">
        <v>2860</v>
      </c>
      <c r="P56" s="35">
        <v>1160</v>
      </c>
      <c r="Q56" s="35">
        <v>2500</v>
      </c>
      <c r="S56" s="35">
        <v>2</v>
      </c>
      <c r="T56" s="35">
        <v>0.8</v>
      </c>
      <c r="U56" s="35">
        <v>5.9</v>
      </c>
      <c r="V56" s="35">
        <v>0.5</v>
      </c>
      <c r="W56" s="35">
        <v>2.6</v>
      </c>
      <c r="X56" s="35">
        <v>3.3</v>
      </c>
      <c r="Y56" s="35">
        <v>1.8</v>
      </c>
      <c r="Z56" s="35">
        <v>3.4</v>
      </c>
      <c r="AA56" s="35">
        <v>3.8</v>
      </c>
      <c r="AB56" s="35">
        <v>2.7</v>
      </c>
      <c r="AC56" s="35">
        <v>2</v>
      </c>
      <c r="AE56" s="35" t="s">
        <v>74</v>
      </c>
      <c r="AF56" s="35" t="s">
        <v>74</v>
      </c>
      <c r="AG56" s="35">
        <v>5.6</v>
      </c>
      <c r="AH56" s="35">
        <v>0.08</v>
      </c>
      <c r="AI56" s="35">
        <v>4.4000000000000004</v>
      </c>
      <c r="AJ56" s="35">
        <v>14.3</v>
      </c>
      <c r="AK56" s="35">
        <v>100</v>
      </c>
      <c r="AL56" s="35" t="s">
        <v>105</v>
      </c>
      <c r="AM56" s="35">
        <v>3880</v>
      </c>
      <c r="AN56" s="35">
        <v>300</v>
      </c>
      <c r="AO56" s="35">
        <v>100</v>
      </c>
      <c r="AQ56" s="35">
        <v>0.18</v>
      </c>
      <c r="AR56" s="35">
        <v>0.3</v>
      </c>
      <c r="AS56" s="35" t="s">
        <v>105</v>
      </c>
      <c r="AT56" s="35">
        <v>0.1</v>
      </c>
      <c r="AU56" s="35">
        <v>0.3</v>
      </c>
      <c r="AV56" s="35">
        <v>25</v>
      </c>
      <c r="AW56" s="35">
        <v>300</v>
      </c>
      <c r="AX56" s="35">
        <v>20</v>
      </c>
      <c r="AY56" s="35">
        <v>105</v>
      </c>
      <c r="AZ56" s="35">
        <v>1.8</v>
      </c>
    </row>
    <row r="57" spans="1:52" ht="16.5" customHeight="1" x14ac:dyDescent="0.25">
      <c r="A57" s="36" t="s">
        <v>670</v>
      </c>
      <c r="B57" s="36" t="s">
        <v>669</v>
      </c>
      <c r="C57" s="35">
        <v>93</v>
      </c>
      <c r="D57" s="35">
        <v>53</v>
      </c>
      <c r="E57" s="35">
        <v>11</v>
      </c>
      <c r="F57" s="35">
        <v>5</v>
      </c>
      <c r="G57" s="35">
        <v>8.4</v>
      </c>
      <c r="H57" s="35">
        <v>4.2</v>
      </c>
      <c r="I57" s="35">
        <v>4.2</v>
      </c>
      <c r="J57" s="35">
        <v>25</v>
      </c>
      <c r="L57" s="35">
        <v>50.5</v>
      </c>
      <c r="M57" s="35">
        <v>71</v>
      </c>
      <c r="N57" s="35">
        <v>1150</v>
      </c>
      <c r="O57" s="35">
        <v>2530</v>
      </c>
      <c r="P57" s="35">
        <v>1150</v>
      </c>
      <c r="Q57" s="35">
        <v>2530</v>
      </c>
      <c r="S57" s="35">
        <v>1.5</v>
      </c>
      <c r="T57" s="35">
        <v>0.4</v>
      </c>
      <c r="U57" s="35">
        <v>3.9</v>
      </c>
      <c r="V57" s="35">
        <v>0.71</v>
      </c>
      <c r="W57" s="35">
        <v>2.5</v>
      </c>
      <c r="X57" s="35">
        <v>2.4</v>
      </c>
      <c r="Y57" s="35">
        <v>1.8</v>
      </c>
      <c r="Z57" s="35">
        <v>2.8</v>
      </c>
      <c r="AA57" s="35">
        <v>3.8</v>
      </c>
      <c r="AB57" s="35">
        <v>3.2</v>
      </c>
      <c r="AC57" s="35">
        <v>2.5</v>
      </c>
      <c r="AE57" s="35" t="s">
        <v>74</v>
      </c>
      <c r="AF57" s="35" t="s">
        <v>74</v>
      </c>
      <c r="AG57" s="35">
        <v>5.6</v>
      </c>
      <c r="AH57" s="35" t="s">
        <v>105</v>
      </c>
      <c r="AI57" s="35">
        <v>8.8000000000000007</v>
      </c>
      <c r="AJ57" s="35">
        <v>8.8000000000000007</v>
      </c>
      <c r="AK57" s="35" t="s">
        <v>105</v>
      </c>
      <c r="AL57" s="35" t="s">
        <v>105</v>
      </c>
      <c r="AM57" s="35">
        <v>3050</v>
      </c>
      <c r="AN57" s="35">
        <v>143</v>
      </c>
      <c r="AO57" s="35">
        <v>65</v>
      </c>
      <c r="AQ57" s="35">
        <v>0.7</v>
      </c>
      <c r="AR57" s="35">
        <v>0.4</v>
      </c>
      <c r="AS57" s="35" t="s">
        <v>105</v>
      </c>
      <c r="AT57" s="35">
        <v>0.3</v>
      </c>
      <c r="AU57" s="35" t="s">
        <v>105</v>
      </c>
      <c r="AV57" s="35">
        <v>10</v>
      </c>
      <c r="AW57" s="35">
        <v>650</v>
      </c>
      <c r="AX57" s="35">
        <v>6</v>
      </c>
      <c r="AY57" s="35">
        <v>240</v>
      </c>
      <c r="AZ57" s="35">
        <v>4</v>
      </c>
    </row>
    <row r="58" spans="1:52" ht="16.5" customHeight="1" x14ac:dyDescent="0.25">
      <c r="A58" s="36" t="s">
        <v>668</v>
      </c>
      <c r="B58" s="36" t="s">
        <v>667</v>
      </c>
      <c r="C58" s="35">
        <v>91</v>
      </c>
      <c r="D58" s="35">
        <v>61</v>
      </c>
      <c r="E58" s="35">
        <v>4</v>
      </c>
      <c r="F58" s="35">
        <v>1</v>
      </c>
      <c r="G58" s="35">
        <v>7</v>
      </c>
      <c r="H58" s="35">
        <v>3.5</v>
      </c>
      <c r="I58" s="35">
        <v>3.5</v>
      </c>
      <c r="J58" s="35">
        <v>24</v>
      </c>
      <c r="L58" s="35">
        <v>51</v>
      </c>
      <c r="M58" s="35">
        <v>72</v>
      </c>
      <c r="N58" s="35">
        <v>1180</v>
      </c>
      <c r="O58" s="35">
        <v>2600</v>
      </c>
      <c r="P58" s="35">
        <v>1120</v>
      </c>
      <c r="Q58" s="35">
        <v>2460</v>
      </c>
      <c r="S58" s="35">
        <v>1.65</v>
      </c>
      <c r="T58" s="35">
        <v>0.75</v>
      </c>
      <c r="U58" s="35">
        <v>4.3</v>
      </c>
      <c r="V58" s="35">
        <v>0.7</v>
      </c>
      <c r="W58" s="35">
        <v>2.6</v>
      </c>
      <c r="X58" s="35">
        <v>3.1</v>
      </c>
      <c r="Y58" s="35">
        <v>1.93</v>
      </c>
      <c r="Z58" s="35">
        <v>3.25</v>
      </c>
      <c r="AA58" s="35">
        <v>4.5</v>
      </c>
      <c r="AB58" s="35">
        <v>4.2</v>
      </c>
      <c r="AC58" s="35">
        <v>2.8</v>
      </c>
      <c r="AE58" s="35" t="s">
        <v>74</v>
      </c>
      <c r="AF58" s="35" t="s">
        <v>74</v>
      </c>
      <c r="AG58" s="35">
        <v>5.6</v>
      </c>
      <c r="AH58" s="35">
        <v>1.51</v>
      </c>
      <c r="AI58" s="35">
        <v>4.5999999999999996</v>
      </c>
      <c r="AJ58" s="35">
        <v>4.7</v>
      </c>
      <c r="AK58" s="35" t="s">
        <v>105</v>
      </c>
      <c r="AL58" s="35" t="s">
        <v>105</v>
      </c>
      <c r="AM58" s="35">
        <v>4050</v>
      </c>
      <c r="AN58" s="35">
        <v>71</v>
      </c>
      <c r="AO58" s="35">
        <v>38</v>
      </c>
      <c r="AQ58" s="35">
        <v>0.97</v>
      </c>
      <c r="AR58" s="35">
        <v>1.1000000000000001</v>
      </c>
      <c r="AS58" s="35">
        <v>0.5</v>
      </c>
      <c r="AT58" s="35">
        <v>0.22</v>
      </c>
      <c r="AU58" s="35" t="s">
        <v>105</v>
      </c>
      <c r="AV58" s="35">
        <v>10</v>
      </c>
      <c r="AW58" s="35">
        <v>80</v>
      </c>
      <c r="AX58" s="35">
        <v>8</v>
      </c>
      <c r="AY58" s="35">
        <v>80</v>
      </c>
      <c r="AZ58" s="35">
        <v>1.5</v>
      </c>
    </row>
    <row r="59" spans="1:52" ht="16.5" customHeight="1" x14ac:dyDescent="0.25">
      <c r="A59" s="36" t="s">
        <v>666</v>
      </c>
      <c r="B59" s="36" t="s">
        <v>665</v>
      </c>
      <c r="C59" s="35">
        <v>90</v>
      </c>
      <c r="D59" s="35">
        <v>65.7</v>
      </c>
      <c r="E59" s="35">
        <v>12.8</v>
      </c>
      <c r="F59" s="35">
        <v>1</v>
      </c>
      <c r="G59" s="35">
        <v>5.2</v>
      </c>
      <c r="H59" s="35">
        <v>2.9</v>
      </c>
      <c r="I59" s="35">
        <v>2.9</v>
      </c>
      <c r="J59" s="35">
        <v>14.6</v>
      </c>
      <c r="L59" s="35">
        <v>53.3</v>
      </c>
      <c r="M59" s="35">
        <v>71</v>
      </c>
      <c r="N59" s="35">
        <v>1560</v>
      </c>
      <c r="O59" s="35">
        <v>3430</v>
      </c>
      <c r="P59" s="35">
        <v>1565</v>
      </c>
      <c r="Q59" s="35">
        <v>3440</v>
      </c>
      <c r="S59" s="35">
        <v>1.93</v>
      </c>
      <c r="T59" s="35">
        <v>0.47</v>
      </c>
      <c r="U59" s="35">
        <v>5.49</v>
      </c>
      <c r="V59" s="35">
        <v>0.63</v>
      </c>
      <c r="W59" s="35">
        <v>3.29</v>
      </c>
      <c r="X59" s="35">
        <v>3.4</v>
      </c>
      <c r="Y59" s="35">
        <v>1.93</v>
      </c>
      <c r="Z59" s="35">
        <v>3.58</v>
      </c>
      <c r="AA59" s="35">
        <v>4.8</v>
      </c>
      <c r="AB59" s="35">
        <v>4.6900000000000004</v>
      </c>
      <c r="AC59" s="35">
        <v>2.91</v>
      </c>
      <c r="AE59" s="35" t="s">
        <v>74</v>
      </c>
      <c r="AF59" s="35" t="s">
        <v>74</v>
      </c>
      <c r="AG59" s="35">
        <v>5.6</v>
      </c>
      <c r="AH59" s="35">
        <v>0.1</v>
      </c>
      <c r="AI59" s="35">
        <v>3.7</v>
      </c>
      <c r="AJ59" s="35">
        <v>10</v>
      </c>
      <c r="AK59" s="35" t="s">
        <v>105</v>
      </c>
      <c r="AL59" s="35" t="s">
        <v>105</v>
      </c>
      <c r="AM59" s="35">
        <v>4230</v>
      </c>
      <c r="AN59" s="35">
        <v>284</v>
      </c>
      <c r="AO59" s="35">
        <v>34</v>
      </c>
      <c r="AQ59" s="35">
        <v>0.24</v>
      </c>
      <c r="AR59" s="35">
        <v>0.6</v>
      </c>
      <c r="AS59" s="35" t="s">
        <v>105</v>
      </c>
      <c r="AT59" s="35">
        <v>0.15</v>
      </c>
      <c r="AU59" s="35" t="s">
        <v>105</v>
      </c>
      <c r="AV59" s="35">
        <v>20</v>
      </c>
      <c r="AW59" s="35">
        <v>620</v>
      </c>
      <c r="AX59" s="35">
        <v>18</v>
      </c>
      <c r="AY59" s="35">
        <v>100</v>
      </c>
      <c r="AZ59" s="35">
        <v>1.7</v>
      </c>
    </row>
    <row r="60" spans="1:52" ht="16.5" customHeight="1" x14ac:dyDescent="0.25">
      <c r="A60" s="36" t="s">
        <v>664</v>
      </c>
      <c r="B60" s="36" t="s">
        <v>663</v>
      </c>
      <c r="C60" s="35">
        <v>51</v>
      </c>
      <c r="D60" s="35">
        <v>31</v>
      </c>
      <c r="E60" s="35">
        <v>4</v>
      </c>
      <c r="F60" s="35">
        <v>0.5</v>
      </c>
      <c r="G60" s="35">
        <v>0.1</v>
      </c>
      <c r="H60" s="35">
        <v>0.5</v>
      </c>
      <c r="I60" s="35">
        <v>0.5</v>
      </c>
      <c r="J60" s="35">
        <v>10</v>
      </c>
      <c r="L60" s="35">
        <v>41.3</v>
      </c>
      <c r="M60" s="35">
        <v>42</v>
      </c>
      <c r="N60" s="35">
        <v>905</v>
      </c>
      <c r="O60" s="35">
        <v>1990</v>
      </c>
      <c r="P60" s="35">
        <v>830</v>
      </c>
      <c r="Q60" s="35" t="s">
        <v>74</v>
      </c>
      <c r="S60" s="35">
        <v>0.45</v>
      </c>
      <c r="T60" s="35">
        <v>0.19</v>
      </c>
      <c r="U60" s="35">
        <v>1.46</v>
      </c>
      <c r="V60" s="35">
        <v>0.11</v>
      </c>
      <c r="W60" s="35">
        <v>0.7</v>
      </c>
      <c r="X60" s="35">
        <v>0.7</v>
      </c>
      <c r="Y60" s="35">
        <v>1.0900000000000001</v>
      </c>
      <c r="Z60" s="35">
        <v>1</v>
      </c>
      <c r="AA60" s="35">
        <v>1.6</v>
      </c>
      <c r="AB60" s="35">
        <v>1.37</v>
      </c>
      <c r="AC60" s="35">
        <v>0.7</v>
      </c>
      <c r="AE60" s="35" t="s">
        <v>74</v>
      </c>
      <c r="AF60" s="35">
        <v>2.2000000000000002</v>
      </c>
      <c r="AG60" s="35" t="s">
        <v>74</v>
      </c>
      <c r="AH60" s="35">
        <v>5.5</v>
      </c>
      <c r="AI60" s="35">
        <v>14.5</v>
      </c>
      <c r="AJ60" s="35">
        <v>35.4</v>
      </c>
      <c r="AK60" s="35">
        <v>200</v>
      </c>
      <c r="AL60" s="35" t="s">
        <v>105</v>
      </c>
      <c r="AM60" s="35">
        <v>4028</v>
      </c>
      <c r="AN60" s="35">
        <v>350</v>
      </c>
      <c r="AO60" s="35">
        <v>169</v>
      </c>
      <c r="AQ60" s="35">
        <v>1</v>
      </c>
      <c r="AR60" s="35">
        <v>1.75</v>
      </c>
      <c r="AS60" s="35">
        <v>2.65</v>
      </c>
      <c r="AT60" s="35">
        <v>0.02</v>
      </c>
      <c r="AU60" s="35">
        <v>0.13</v>
      </c>
      <c r="AV60" s="35">
        <v>12</v>
      </c>
      <c r="AW60" s="35">
        <v>300</v>
      </c>
      <c r="AX60" s="35">
        <v>48</v>
      </c>
      <c r="AY60" s="35">
        <v>38</v>
      </c>
      <c r="AZ60" s="35">
        <v>2</v>
      </c>
    </row>
    <row r="61" spans="1:52" ht="16.5" customHeight="1" x14ac:dyDescent="0.25">
      <c r="A61" s="36" t="s">
        <v>662</v>
      </c>
      <c r="B61" s="36" t="s">
        <v>661</v>
      </c>
      <c r="C61" s="35">
        <v>93</v>
      </c>
      <c r="D61" s="35">
        <v>40</v>
      </c>
      <c r="E61" s="35">
        <v>6</v>
      </c>
      <c r="F61" s="35">
        <v>5.5</v>
      </c>
      <c r="G61" s="35">
        <v>0.4</v>
      </c>
      <c r="H61" s="35">
        <v>1.2</v>
      </c>
      <c r="I61" s="35">
        <v>1.2</v>
      </c>
      <c r="J61" s="35">
        <v>12.5</v>
      </c>
      <c r="L61" s="35" t="s">
        <v>105</v>
      </c>
      <c r="M61" s="35">
        <v>76</v>
      </c>
      <c r="N61" s="35">
        <v>1580</v>
      </c>
      <c r="O61" s="35">
        <v>3480</v>
      </c>
      <c r="P61" s="35">
        <v>1335</v>
      </c>
      <c r="Q61" s="35">
        <v>2940</v>
      </c>
      <c r="S61" s="35">
        <v>0.64</v>
      </c>
      <c r="T61" s="35">
        <v>0.5</v>
      </c>
      <c r="U61" s="35">
        <v>2.6</v>
      </c>
      <c r="V61" s="35">
        <v>2.2999999999999998</v>
      </c>
      <c r="W61" s="35">
        <v>1.1000000000000001</v>
      </c>
      <c r="X61" s="35">
        <v>1.2</v>
      </c>
      <c r="Y61" s="35">
        <v>0.9</v>
      </c>
      <c r="Z61" s="35">
        <v>1.6</v>
      </c>
      <c r="AA61" s="35">
        <v>2.6</v>
      </c>
      <c r="AB61" s="35">
        <v>1.8</v>
      </c>
      <c r="AC61" s="35">
        <v>1.3</v>
      </c>
      <c r="AE61" s="35" t="s">
        <v>74</v>
      </c>
      <c r="AF61" s="35" t="s">
        <v>74</v>
      </c>
      <c r="AG61" s="35" t="s">
        <v>74</v>
      </c>
      <c r="AH61" s="35">
        <v>6.8</v>
      </c>
      <c r="AI61" s="35">
        <v>16.5</v>
      </c>
      <c r="AJ61" s="35">
        <v>48.4</v>
      </c>
      <c r="AK61" s="35">
        <v>490</v>
      </c>
      <c r="AL61" s="35">
        <v>726</v>
      </c>
      <c r="AM61" s="35">
        <v>3960</v>
      </c>
      <c r="AN61" s="35">
        <v>308</v>
      </c>
      <c r="AO61" s="35">
        <v>209</v>
      </c>
      <c r="AQ61" s="35">
        <v>0.4</v>
      </c>
      <c r="AR61" s="35">
        <v>2.5</v>
      </c>
      <c r="AS61" s="35" t="s">
        <v>105</v>
      </c>
      <c r="AT61" s="35">
        <v>0.27</v>
      </c>
      <c r="AU61" s="35">
        <v>0.45</v>
      </c>
      <c r="AV61" s="35">
        <v>10</v>
      </c>
      <c r="AW61" s="35">
        <v>948</v>
      </c>
      <c r="AX61" s="35">
        <v>20</v>
      </c>
      <c r="AY61" s="35">
        <v>76</v>
      </c>
      <c r="AZ61" s="35">
        <v>2.7</v>
      </c>
    </row>
    <row r="62" spans="1:52" ht="16.5" customHeight="1" x14ac:dyDescent="0.25">
      <c r="A62" s="36" t="s">
        <v>660</v>
      </c>
      <c r="B62" s="36" t="s">
        <v>659</v>
      </c>
      <c r="C62" s="35">
        <v>92</v>
      </c>
      <c r="D62" s="35">
        <v>22</v>
      </c>
      <c r="E62" s="35">
        <v>34</v>
      </c>
      <c r="F62" s="35">
        <v>6.5</v>
      </c>
      <c r="G62" s="35">
        <v>0.25</v>
      </c>
      <c r="H62" s="35">
        <v>0.5</v>
      </c>
      <c r="I62" s="35" t="s">
        <v>74</v>
      </c>
      <c r="J62" s="35" t="s">
        <v>74</v>
      </c>
      <c r="L62" s="35" t="s">
        <v>74</v>
      </c>
      <c r="M62" s="35" t="s">
        <v>74</v>
      </c>
      <c r="N62" s="35">
        <v>1795</v>
      </c>
      <c r="O62" s="35">
        <v>3957</v>
      </c>
      <c r="P62" s="35" t="s">
        <v>105</v>
      </c>
      <c r="Q62" s="35" t="s">
        <v>105</v>
      </c>
      <c r="S62" s="35">
        <v>0.35</v>
      </c>
      <c r="T62" s="35">
        <v>0.42</v>
      </c>
      <c r="U62" s="35">
        <v>0.92</v>
      </c>
      <c r="V62" s="35">
        <v>0.22</v>
      </c>
      <c r="W62" s="35">
        <v>0.77</v>
      </c>
      <c r="X62" s="35">
        <v>0.95</v>
      </c>
      <c r="Y62" s="35">
        <v>0.44</v>
      </c>
      <c r="Z62" s="35">
        <v>1.17</v>
      </c>
      <c r="AA62" s="35">
        <v>1.25</v>
      </c>
      <c r="AB62" s="35">
        <v>2.0499999999999998</v>
      </c>
      <c r="AC62" s="35">
        <v>0.97</v>
      </c>
      <c r="AE62" s="35" t="s">
        <v>74</v>
      </c>
      <c r="AF62" s="35" t="s">
        <v>74</v>
      </c>
      <c r="AG62" s="35">
        <v>18.899999999999999</v>
      </c>
      <c r="AH62" s="35">
        <v>7</v>
      </c>
      <c r="AI62" s="35">
        <v>4.5</v>
      </c>
      <c r="AJ62" s="35" t="s">
        <v>74</v>
      </c>
      <c r="AK62" s="35" t="s">
        <v>74</v>
      </c>
      <c r="AL62" s="35" t="s">
        <v>74</v>
      </c>
      <c r="AM62" s="35">
        <v>3150</v>
      </c>
      <c r="AN62" s="35" t="s">
        <v>74</v>
      </c>
      <c r="AO62" s="35">
        <v>41</v>
      </c>
      <c r="AQ62" s="35">
        <v>0.08</v>
      </c>
      <c r="AR62" s="35">
        <v>1.5</v>
      </c>
      <c r="AS62" s="35" t="s">
        <v>74</v>
      </c>
      <c r="AT62" s="35">
        <v>0.5</v>
      </c>
      <c r="AU62" s="35" t="s">
        <v>74</v>
      </c>
      <c r="AV62" s="35" t="s">
        <v>74</v>
      </c>
      <c r="AW62" s="35">
        <v>236</v>
      </c>
      <c r="AX62" s="35">
        <v>22</v>
      </c>
      <c r="AY62" s="35">
        <v>91</v>
      </c>
      <c r="AZ62" s="35" t="s">
        <v>74</v>
      </c>
    </row>
    <row r="63" spans="1:52" ht="16.5" customHeight="1" x14ac:dyDescent="0.25">
      <c r="A63" s="36" t="s">
        <v>658</v>
      </c>
      <c r="B63" s="36" t="s">
        <v>657</v>
      </c>
      <c r="C63" s="35">
        <v>89</v>
      </c>
      <c r="D63" s="35">
        <v>10.5</v>
      </c>
      <c r="E63" s="35">
        <v>6.5</v>
      </c>
      <c r="F63" s="35">
        <v>5</v>
      </c>
      <c r="G63" s="35">
        <v>0.05</v>
      </c>
      <c r="H63" s="35">
        <v>0.5</v>
      </c>
      <c r="I63" s="35">
        <v>0.17</v>
      </c>
      <c r="J63" s="35">
        <v>3</v>
      </c>
      <c r="L63" s="35">
        <v>8</v>
      </c>
      <c r="M63" s="35">
        <v>86</v>
      </c>
      <c r="N63" s="35">
        <v>1410</v>
      </c>
      <c r="O63" s="35">
        <v>3108</v>
      </c>
      <c r="P63" s="35">
        <v>1530</v>
      </c>
      <c r="Q63" s="35">
        <v>3365</v>
      </c>
      <c r="S63" s="35">
        <v>0.22</v>
      </c>
      <c r="T63" s="35">
        <v>0.12</v>
      </c>
      <c r="U63" s="35">
        <v>0.45</v>
      </c>
      <c r="V63" s="35">
        <v>0.12</v>
      </c>
      <c r="W63" s="35">
        <v>0.43</v>
      </c>
      <c r="X63" s="35">
        <v>0.38</v>
      </c>
      <c r="Y63" s="35">
        <v>0.36</v>
      </c>
      <c r="Z63" s="35">
        <v>0.59</v>
      </c>
      <c r="AA63" s="35">
        <v>0.9</v>
      </c>
      <c r="AB63" s="35">
        <v>0.6</v>
      </c>
      <c r="AC63" s="35">
        <v>0.4</v>
      </c>
      <c r="AE63" s="35">
        <v>9</v>
      </c>
      <c r="AF63" s="35">
        <v>15.3</v>
      </c>
      <c r="AG63" s="35" t="s">
        <v>74</v>
      </c>
      <c r="AH63" s="35">
        <v>8.3000000000000007</v>
      </c>
      <c r="AI63" s="35">
        <v>2.2000000000000002</v>
      </c>
      <c r="AJ63" s="35">
        <v>7.7</v>
      </c>
      <c r="AK63" s="35">
        <v>130</v>
      </c>
      <c r="AL63" s="35">
        <v>330</v>
      </c>
      <c r="AM63" s="35">
        <v>1500</v>
      </c>
      <c r="AN63" s="35" t="s">
        <v>74</v>
      </c>
      <c r="AO63" s="35">
        <v>49.7</v>
      </c>
      <c r="AQ63" s="35">
        <v>0.1</v>
      </c>
      <c r="AR63" s="35">
        <v>0.67</v>
      </c>
      <c r="AS63" s="35">
        <v>0.05</v>
      </c>
      <c r="AT63" s="35">
        <v>0.24</v>
      </c>
      <c r="AU63" s="35" t="s">
        <v>74</v>
      </c>
      <c r="AV63" s="35">
        <v>15</v>
      </c>
      <c r="AW63" s="35">
        <v>65</v>
      </c>
      <c r="AX63" s="35">
        <v>15</v>
      </c>
      <c r="AY63" s="35">
        <v>3</v>
      </c>
      <c r="AZ63" s="35">
        <v>0.15</v>
      </c>
    </row>
    <row r="64" spans="1:52" ht="16.5" customHeight="1" x14ac:dyDescent="0.25">
      <c r="A64" s="36" t="s">
        <v>656</v>
      </c>
      <c r="B64" s="36" t="s">
        <v>655</v>
      </c>
      <c r="C64" s="35">
        <v>90</v>
      </c>
      <c r="D64" s="35">
        <v>11.8</v>
      </c>
      <c r="E64" s="35">
        <v>2.9</v>
      </c>
      <c r="F64" s="35">
        <v>2</v>
      </c>
      <c r="G64" s="35">
        <v>0.04</v>
      </c>
      <c r="H64" s="35">
        <v>0.33</v>
      </c>
      <c r="I64" s="35" t="s">
        <v>74</v>
      </c>
      <c r="J64" s="35">
        <v>1.5</v>
      </c>
      <c r="L64" s="35">
        <v>7.9</v>
      </c>
      <c r="M64" s="35">
        <v>65</v>
      </c>
      <c r="N64" s="35">
        <v>1550</v>
      </c>
      <c r="O64" s="35">
        <v>3410</v>
      </c>
      <c r="P64" s="35">
        <v>1315</v>
      </c>
      <c r="Q64" s="35">
        <v>2895</v>
      </c>
      <c r="S64" s="35">
        <v>0.18</v>
      </c>
      <c r="T64" s="35">
        <v>0.14000000000000001</v>
      </c>
      <c r="U64" s="35">
        <v>0.27</v>
      </c>
      <c r="V64" s="35">
        <v>0.18</v>
      </c>
      <c r="W64" s="35">
        <v>0.45</v>
      </c>
      <c r="X64" s="35">
        <v>0.54</v>
      </c>
      <c r="Y64" s="35">
        <v>0.27</v>
      </c>
      <c r="Z64" s="35">
        <v>0.63</v>
      </c>
      <c r="AA64" s="35">
        <v>1.6</v>
      </c>
      <c r="AB64" s="35">
        <v>0.35</v>
      </c>
      <c r="AC64" s="35">
        <v>0.63</v>
      </c>
      <c r="AE64" s="35" t="s">
        <v>74</v>
      </c>
      <c r="AF64" s="35">
        <v>0.6</v>
      </c>
      <c r="AG64" s="35" t="s">
        <v>74</v>
      </c>
      <c r="AH64" s="35">
        <v>3.8</v>
      </c>
      <c r="AI64" s="35">
        <v>1.4</v>
      </c>
      <c r="AJ64" s="35">
        <v>12.2</v>
      </c>
      <c r="AK64" s="35" t="s">
        <v>105</v>
      </c>
      <c r="AL64" s="35" t="s">
        <v>105</v>
      </c>
      <c r="AM64" s="35" t="s">
        <v>105</v>
      </c>
      <c r="AN64" s="35" t="s">
        <v>74</v>
      </c>
      <c r="AO64" s="35">
        <v>36.6</v>
      </c>
      <c r="AQ64" s="35" t="s">
        <v>105</v>
      </c>
      <c r="AR64" s="35">
        <v>0.34</v>
      </c>
      <c r="AS64" s="35" t="s">
        <v>105</v>
      </c>
      <c r="AT64" s="35">
        <v>0.15</v>
      </c>
      <c r="AU64" s="35">
        <v>0.16</v>
      </c>
      <c r="AV64" s="35">
        <v>16</v>
      </c>
      <c r="AW64" s="35">
        <v>100</v>
      </c>
      <c r="AX64" s="35">
        <v>6</v>
      </c>
      <c r="AY64" s="35" t="s">
        <v>105</v>
      </c>
      <c r="AZ64" s="35" t="s">
        <v>648</v>
      </c>
    </row>
    <row r="65" spans="1:52" ht="16.5" customHeight="1" x14ac:dyDescent="0.25">
      <c r="A65" s="36" t="s">
        <v>654</v>
      </c>
      <c r="B65" s="36" t="s">
        <v>653</v>
      </c>
      <c r="C65" s="35">
        <v>91</v>
      </c>
      <c r="D65" s="35">
        <v>8.9</v>
      </c>
      <c r="E65" s="35">
        <v>1.6</v>
      </c>
      <c r="F65" s="35">
        <v>3.9</v>
      </c>
      <c r="G65" s="35">
        <v>1.2</v>
      </c>
      <c r="H65" s="35">
        <v>0.16</v>
      </c>
      <c r="I65" s="35" t="s">
        <v>74</v>
      </c>
      <c r="J65" s="35">
        <v>17.3</v>
      </c>
      <c r="L65" s="35">
        <v>7.3</v>
      </c>
      <c r="M65" s="35">
        <v>29</v>
      </c>
      <c r="N65" s="35" t="s">
        <v>105</v>
      </c>
      <c r="O65" s="35" t="s">
        <v>105</v>
      </c>
      <c r="P65" s="35" t="s">
        <v>105</v>
      </c>
      <c r="Q65" s="35" t="s">
        <v>105</v>
      </c>
      <c r="S65" s="35">
        <v>0.1</v>
      </c>
      <c r="T65" s="35" t="s">
        <v>105</v>
      </c>
      <c r="U65" s="35">
        <v>0.04</v>
      </c>
      <c r="V65" s="35" t="s">
        <v>105</v>
      </c>
      <c r="W65" s="35">
        <v>0.03</v>
      </c>
      <c r="X65" s="35" t="s">
        <v>105</v>
      </c>
      <c r="Y65" s="35" t="s">
        <v>105</v>
      </c>
      <c r="Z65" s="35" t="s">
        <v>105</v>
      </c>
      <c r="AA65" s="35">
        <v>0.09</v>
      </c>
      <c r="AB65" s="35">
        <v>0.1</v>
      </c>
      <c r="AC65" s="35" t="s">
        <v>105</v>
      </c>
      <c r="AE65" s="35">
        <v>86</v>
      </c>
      <c r="AF65" s="35">
        <v>66</v>
      </c>
      <c r="AG65" s="35">
        <v>150</v>
      </c>
      <c r="AH65" s="35">
        <v>1</v>
      </c>
      <c r="AI65" s="35">
        <v>5</v>
      </c>
      <c r="AJ65" s="35">
        <v>7</v>
      </c>
      <c r="AK65" s="35">
        <v>100</v>
      </c>
      <c r="AL65" s="35">
        <v>100</v>
      </c>
      <c r="AM65" s="35">
        <v>275</v>
      </c>
      <c r="AN65" s="35">
        <v>0</v>
      </c>
      <c r="AO65" s="35">
        <v>23</v>
      </c>
      <c r="AQ65" s="35">
        <v>2.4</v>
      </c>
      <c r="AR65" s="35">
        <v>2.2999999999999998</v>
      </c>
      <c r="AS65" s="35" t="s">
        <v>105</v>
      </c>
      <c r="AT65" s="35">
        <v>0.85</v>
      </c>
      <c r="AU65" s="35">
        <v>0.73</v>
      </c>
      <c r="AV65" s="35">
        <v>62</v>
      </c>
      <c r="AW65" s="35">
        <v>566</v>
      </c>
      <c r="AX65" s="35">
        <v>5</v>
      </c>
      <c r="AY65" s="35">
        <v>46</v>
      </c>
      <c r="AZ65" s="35">
        <v>0.4</v>
      </c>
    </row>
    <row r="66" spans="1:52" x14ac:dyDescent="0.25">
      <c r="A66" s="36" t="s">
        <v>652</v>
      </c>
      <c r="B66" s="36" t="s">
        <v>651</v>
      </c>
      <c r="C66" s="35">
        <v>90</v>
      </c>
      <c r="D66" s="35">
        <v>32</v>
      </c>
      <c r="E66" s="35">
        <v>3.5</v>
      </c>
      <c r="F66" s="35">
        <v>9.5</v>
      </c>
      <c r="G66" s="35">
        <v>0.4</v>
      </c>
      <c r="H66" s="35">
        <v>0.8</v>
      </c>
      <c r="I66" s="35" t="s">
        <v>74</v>
      </c>
      <c r="J66" s="35">
        <v>6</v>
      </c>
      <c r="L66" s="35">
        <v>28.1</v>
      </c>
      <c r="M66" s="35">
        <v>75</v>
      </c>
      <c r="N66" s="35">
        <v>700</v>
      </c>
      <c r="O66" s="35">
        <v>1540</v>
      </c>
      <c r="P66" s="35">
        <v>910</v>
      </c>
      <c r="Q66" s="35">
        <v>2000</v>
      </c>
      <c r="S66" s="37">
        <v>0.47</v>
      </c>
      <c r="T66" s="35">
        <v>0.56000000000000005</v>
      </c>
      <c r="U66" s="35">
        <v>1.1000000000000001</v>
      </c>
      <c r="V66" s="35">
        <v>0.47</v>
      </c>
      <c r="W66" s="35">
        <v>1.1000000000000001</v>
      </c>
      <c r="X66" s="35">
        <v>1.7</v>
      </c>
      <c r="Y66" s="35">
        <v>0.6</v>
      </c>
      <c r="Z66" s="35">
        <v>1.5</v>
      </c>
      <c r="AA66" s="35">
        <v>1.9</v>
      </c>
      <c r="AB66" s="35">
        <v>2.6</v>
      </c>
      <c r="AC66" s="35">
        <v>1.4</v>
      </c>
      <c r="AE66" s="35" t="s">
        <v>74</v>
      </c>
      <c r="AF66" s="35">
        <v>0.3</v>
      </c>
      <c r="AG66" s="35">
        <v>7.7</v>
      </c>
      <c r="AH66" s="35">
        <v>2.6</v>
      </c>
      <c r="AI66" s="35">
        <v>4.0999999999999996</v>
      </c>
      <c r="AJ66" s="35">
        <v>16.5</v>
      </c>
      <c r="AK66" s="35" t="s">
        <v>411</v>
      </c>
      <c r="AL66" s="35">
        <v>2900</v>
      </c>
      <c r="AM66" s="35">
        <v>1672</v>
      </c>
      <c r="AN66" s="35" t="s">
        <v>408</v>
      </c>
      <c r="AO66" s="35">
        <v>37.4</v>
      </c>
      <c r="AQ66" s="37">
        <v>0.11</v>
      </c>
      <c r="AR66" s="35">
        <v>1.24</v>
      </c>
      <c r="AS66" s="35" t="s">
        <v>105</v>
      </c>
      <c r="AT66" s="35">
        <v>0.57999999999999996</v>
      </c>
      <c r="AU66" s="35">
        <v>0.39</v>
      </c>
      <c r="AV66" s="35">
        <v>39.4</v>
      </c>
      <c r="AW66" s="35">
        <v>200</v>
      </c>
      <c r="AX66" s="35">
        <v>26.4</v>
      </c>
      <c r="AY66" s="35" t="s">
        <v>105</v>
      </c>
      <c r="AZ66" s="35" t="s">
        <v>648</v>
      </c>
    </row>
    <row r="67" spans="1:52" x14ac:dyDescent="0.25">
      <c r="A67" s="36" t="s">
        <v>650</v>
      </c>
      <c r="B67" s="36" t="s">
        <v>649</v>
      </c>
      <c r="C67" s="35">
        <v>88</v>
      </c>
      <c r="D67" s="35">
        <v>33</v>
      </c>
      <c r="E67" s="35">
        <v>0.5</v>
      </c>
      <c r="F67" s="35">
        <v>9.5</v>
      </c>
      <c r="G67" s="35">
        <v>0.35</v>
      </c>
      <c r="H67" s="35">
        <v>0.75</v>
      </c>
      <c r="I67" s="35" t="s">
        <v>74</v>
      </c>
      <c r="J67" s="35">
        <v>6</v>
      </c>
      <c r="L67" s="35">
        <v>28.7</v>
      </c>
      <c r="M67" s="35">
        <v>70</v>
      </c>
      <c r="N67" s="35">
        <v>635</v>
      </c>
      <c r="O67" s="35">
        <v>1400</v>
      </c>
      <c r="P67" s="35">
        <v>1090</v>
      </c>
      <c r="Q67" s="35">
        <v>2400</v>
      </c>
      <c r="S67" s="37">
        <v>0.48</v>
      </c>
      <c r="T67" s="35">
        <v>0.57999999999999996</v>
      </c>
      <c r="U67" s="35">
        <v>1.1000000000000001</v>
      </c>
      <c r="V67" s="35">
        <v>0.48</v>
      </c>
      <c r="W67" s="35">
        <v>1.2</v>
      </c>
      <c r="X67" s="35">
        <v>1.8</v>
      </c>
      <c r="Y67" s="35">
        <v>0.7</v>
      </c>
      <c r="Z67" s="35">
        <v>1.6</v>
      </c>
      <c r="AA67" s="35">
        <v>2</v>
      </c>
      <c r="AB67" s="35">
        <v>2.7</v>
      </c>
      <c r="AC67" s="35">
        <v>1.5</v>
      </c>
      <c r="AE67" s="35" t="s">
        <v>74</v>
      </c>
      <c r="AF67" s="35" t="s">
        <v>74</v>
      </c>
      <c r="AG67" s="35">
        <v>5.8</v>
      </c>
      <c r="AH67" s="35">
        <v>6.6</v>
      </c>
      <c r="AI67" s="35">
        <v>4.0999999999999996</v>
      </c>
      <c r="AJ67" s="35">
        <v>16.5</v>
      </c>
      <c r="AK67" s="35" t="s">
        <v>411</v>
      </c>
      <c r="AL67" s="35">
        <v>1300</v>
      </c>
      <c r="AM67" s="35">
        <v>1760</v>
      </c>
      <c r="AN67" s="35" t="s">
        <v>408</v>
      </c>
      <c r="AO67" s="35">
        <v>32.799999999999997</v>
      </c>
      <c r="AQ67" s="37">
        <v>0.14000000000000001</v>
      </c>
      <c r="AR67" s="35">
        <v>1.38</v>
      </c>
      <c r="AS67" s="35" t="s">
        <v>105</v>
      </c>
      <c r="AT67" s="35">
        <v>0.6</v>
      </c>
      <c r="AU67" s="35">
        <v>0.39</v>
      </c>
      <c r="AV67" s="35">
        <v>37.6</v>
      </c>
      <c r="AW67" s="35">
        <v>300</v>
      </c>
      <c r="AX67" s="35">
        <v>25.7</v>
      </c>
      <c r="AY67" s="35" t="s">
        <v>105</v>
      </c>
      <c r="AZ67" s="35" t="s">
        <v>648</v>
      </c>
    </row>
    <row r="68" spans="1:52" x14ac:dyDescent="0.25">
      <c r="A68" s="36" t="s">
        <v>647</v>
      </c>
      <c r="B68" s="36" t="s">
        <v>646</v>
      </c>
      <c r="C68" s="35">
        <v>92</v>
      </c>
      <c r="D68" s="35">
        <v>25</v>
      </c>
      <c r="E68" s="35">
        <v>1.2</v>
      </c>
      <c r="F68" s="35">
        <v>15</v>
      </c>
      <c r="G68" s="35">
        <v>0.2</v>
      </c>
      <c r="H68" s="35">
        <v>0.7</v>
      </c>
      <c r="I68" s="35" t="s">
        <v>408</v>
      </c>
      <c r="J68" s="35">
        <v>7</v>
      </c>
      <c r="L68" s="35">
        <v>19.7</v>
      </c>
      <c r="M68" s="35">
        <v>63</v>
      </c>
      <c r="N68" s="35">
        <v>640</v>
      </c>
      <c r="O68" s="35">
        <v>1410</v>
      </c>
      <c r="P68" s="35">
        <v>640</v>
      </c>
      <c r="Q68" s="35">
        <v>1405</v>
      </c>
      <c r="S68" s="35">
        <v>0.32</v>
      </c>
      <c r="T68" s="35">
        <v>0.23</v>
      </c>
      <c r="U68" s="35">
        <v>1.1000000000000001</v>
      </c>
      <c r="V68" s="35">
        <v>0.41</v>
      </c>
      <c r="W68" s="35" t="s">
        <v>411</v>
      </c>
      <c r="X68" s="35" t="s">
        <v>411</v>
      </c>
      <c r="Y68" s="35" t="s">
        <v>411</v>
      </c>
      <c r="Z68" s="35" t="s">
        <v>411</v>
      </c>
      <c r="AA68" s="35" t="s">
        <v>411</v>
      </c>
      <c r="AB68" s="35">
        <v>1</v>
      </c>
      <c r="AC68" s="35" t="s">
        <v>411</v>
      </c>
      <c r="AE68" s="35" t="s">
        <v>74</v>
      </c>
      <c r="AF68" s="35" t="s">
        <v>74</v>
      </c>
      <c r="AG68" s="35">
        <v>4.2</v>
      </c>
      <c r="AH68" s="35">
        <v>0.7</v>
      </c>
      <c r="AI68" s="35">
        <v>1.5</v>
      </c>
      <c r="AJ68" s="35">
        <v>8.6</v>
      </c>
      <c r="AK68" s="35" t="s">
        <v>411</v>
      </c>
      <c r="AL68" s="35">
        <v>200</v>
      </c>
      <c r="AM68" s="35">
        <v>1584</v>
      </c>
      <c r="AN68" s="35" t="s">
        <v>408</v>
      </c>
      <c r="AO68" s="35">
        <v>43.3</v>
      </c>
      <c r="AQ68" s="35" t="s">
        <v>105</v>
      </c>
      <c r="AR68" s="35">
        <v>0.21</v>
      </c>
      <c r="AS68" s="35" t="s">
        <v>411</v>
      </c>
      <c r="AT68" s="35">
        <v>0.18</v>
      </c>
      <c r="AU68" s="35">
        <v>0.79</v>
      </c>
      <c r="AV68" s="35">
        <v>31.7</v>
      </c>
      <c r="AW68" s="35" t="s">
        <v>411</v>
      </c>
      <c r="AX68" s="35" t="s">
        <v>411</v>
      </c>
      <c r="AY68" s="35" t="s">
        <v>411</v>
      </c>
      <c r="AZ68" s="35">
        <v>0.6</v>
      </c>
    </row>
    <row r="69" spans="1:52" x14ac:dyDescent="0.25">
      <c r="A69" s="36" t="s">
        <v>645</v>
      </c>
      <c r="B69" s="36" t="s">
        <v>644</v>
      </c>
      <c r="C69" s="35">
        <v>92</v>
      </c>
      <c r="D69" s="35">
        <v>45</v>
      </c>
      <c r="E69" s="35">
        <v>8.5</v>
      </c>
      <c r="F69" s="35">
        <v>2.5</v>
      </c>
      <c r="G69" s="35">
        <v>11</v>
      </c>
      <c r="H69" s="35">
        <v>5.9</v>
      </c>
      <c r="I69" s="35">
        <v>5.9</v>
      </c>
      <c r="J69" s="35">
        <v>37</v>
      </c>
      <c r="L69" s="35">
        <v>35.5</v>
      </c>
      <c r="M69" s="35">
        <v>63</v>
      </c>
      <c r="N69" s="35">
        <v>1080</v>
      </c>
      <c r="O69" s="35">
        <v>2375</v>
      </c>
      <c r="P69" s="35">
        <v>1090</v>
      </c>
      <c r="Q69" s="35">
        <v>2400</v>
      </c>
      <c r="S69" s="35">
        <v>0.53</v>
      </c>
      <c r="T69" s="35">
        <v>0.26</v>
      </c>
      <c r="U69" s="35">
        <v>2.2000000000000002</v>
      </c>
      <c r="V69" s="35">
        <v>0.18</v>
      </c>
      <c r="W69" s="35">
        <v>1.58</v>
      </c>
      <c r="X69" s="35">
        <v>1.7</v>
      </c>
      <c r="Y69" s="35">
        <v>1.5</v>
      </c>
      <c r="Z69" s="35">
        <v>2.4</v>
      </c>
      <c r="AA69" s="35">
        <v>2.9</v>
      </c>
      <c r="AB69" s="35">
        <v>2.7</v>
      </c>
      <c r="AC69" s="35">
        <v>1.8</v>
      </c>
      <c r="AE69" s="35" t="s">
        <v>74</v>
      </c>
      <c r="AF69" s="35" t="s">
        <v>74</v>
      </c>
      <c r="AG69" s="35">
        <v>0.8</v>
      </c>
      <c r="AH69" s="35">
        <v>0.2</v>
      </c>
      <c r="AI69" s="35">
        <v>4.8</v>
      </c>
      <c r="AJ69" s="35">
        <v>4.5999999999999996</v>
      </c>
      <c r="AK69" s="35">
        <v>140</v>
      </c>
      <c r="AL69" s="35">
        <v>550</v>
      </c>
      <c r="AM69" s="35">
        <v>1980</v>
      </c>
      <c r="AN69" s="35">
        <v>100</v>
      </c>
      <c r="AO69" s="35">
        <v>56</v>
      </c>
      <c r="AQ69" s="35">
        <v>0.6</v>
      </c>
      <c r="AR69" s="35">
        <v>1.2</v>
      </c>
      <c r="AS69" s="35">
        <v>0.7</v>
      </c>
      <c r="AT69" s="35">
        <v>1</v>
      </c>
      <c r="AU69" s="35">
        <v>0.4</v>
      </c>
      <c r="AV69" s="35">
        <v>10.1</v>
      </c>
      <c r="AW69" s="35">
        <v>500</v>
      </c>
      <c r="AX69" s="35" t="s">
        <v>411</v>
      </c>
      <c r="AY69" s="35">
        <v>90</v>
      </c>
      <c r="AZ69" s="35">
        <v>0.25</v>
      </c>
    </row>
    <row r="70" spans="1:52" x14ac:dyDescent="0.25">
      <c r="A70" s="36" t="s">
        <v>643</v>
      </c>
      <c r="B70" s="36" t="s">
        <v>642</v>
      </c>
      <c r="C70" s="35">
        <v>93</v>
      </c>
      <c r="D70" s="35">
        <v>50</v>
      </c>
      <c r="E70" s="35">
        <v>8.5</v>
      </c>
      <c r="F70" s="35">
        <v>2.8</v>
      </c>
      <c r="G70" s="35">
        <v>9.1999999999999993</v>
      </c>
      <c r="H70" s="35">
        <v>4.7</v>
      </c>
      <c r="I70" s="35">
        <v>4.7</v>
      </c>
      <c r="J70" s="35">
        <v>33</v>
      </c>
      <c r="L70" s="35">
        <v>39.5</v>
      </c>
      <c r="M70" s="35">
        <v>68</v>
      </c>
      <c r="N70" s="35">
        <v>1150</v>
      </c>
      <c r="O70" s="35">
        <v>2530</v>
      </c>
      <c r="P70" s="35">
        <v>1105</v>
      </c>
      <c r="Q70" s="35">
        <v>2435</v>
      </c>
      <c r="S70" s="35" t="s">
        <v>641</v>
      </c>
      <c r="T70" s="35" t="s">
        <v>640</v>
      </c>
      <c r="U70" s="35" t="s">
        <v>639</v>
      </c>
      <c r="V70" s="35">
        <v>0.26</v>
      </c>
      <c r="W70" s="35" t="s">
        <v>638</v>
      </c>
      <c r="X70" s="35" t="s">
        <v>637</v>
      </c>
      <c r="Y70" s="35" t="s">
        <v>636</v>
      </c>
      <c r="Z70" s="35" t="s">
        <v>635</v>
      </c>
      <c r="AA70" s="35" t="s">
        <v>634</v>
      </c>
      <c r="AB70" s="35" t="s">
        <v>633</v>
      </c>
      <c r="AC70" s="35" t="s">
        <v>632</v>
      </c>
      <c r="AE70" s="35" t="s">
        <v>74</v>
      </c>
      <c r="AF70" s="35" t="s">
        <v>74</v>
      </c>
      <c r="AG70" s="35">
        <v>0.8</v>
      </c>
      <c r="AH70" s="35">
        <v>0.2</v>
      </c>
      <c r="AI70" s="35">
        <v>5.2</v>
      </c>
      <c r="AJ70" s="35">
        <v>4.4000000000000004</v>
      </c>
      <c r="AK70" s="35">
        <v>140</v>
      </c>
      <c r="AL70" s="35">
        <v>600</v>
      </c>
      <c r="AM70" s="35">
        <v>2000</v>
      </c>
      <c r="AN70" s="35">
        <v>100</v>
      </c>
      <c r="AO70" s="35">
        <v>59.4</v>
      </c>
      <c r="AQ70" s="35">
        <v>0.8</v>
      </c>
      <c r="AR70" s="35">
        <v>1.4</v>
      </c>
      <c r="AS70" s="35">
        <v>0.75</v>
      </c>
      <c r="AT70" s="35">
        <v>1.1299999999999999</v>
      </c>
      <c r="AU70" s="35">
        <v>0.4</v>
      </c>
      <c r="AV70" s="35">
        <v>12.3</v>
      </c>
      <c r="AW70" s="35">
        <v>500</v>
      </c>
      <c r="AX70" s="35">
        <v>3</v>
      </c>
      <c r="AY70" s="35">
        <v>90</v>
      </c>
      <c r="AZ70" s="35">
        <v>0.25</v>
      </c>
    </row>
    <row r="71" spans="1:52" x14ac:dyDescent="0.25">
      <c r="A71" s="36" t="s">
        <v>631</v>
      </c>
      <c r="B71" s="36" t="s">
        <v>630</v>
      </c>
      <c r="C71" s="35">
        <v>93</v>
      </c>
      <c r="D71" s="35">
        <v>55</v>
      </c>
      <c r="E71" s="35">
        <v>7.2</v>
      </c>
      <c r="F71" s="35">
        <v>2.5</v>
      </c>
      <c r="G71" s="35">
        <v>7.6</v>
      </c>
      <c r="H71" s="35">
        <v>3.8</v>
      </c>
      <c r="I71" s="35">
        <v>3.8</v>
      </c>
      <c r="J71" s="35">
        <v>25</v>
      </c>
      <c r="L71" s="35">
        <v>43.5</v>
      </c>
      <c r="M71" s="35">
        <v>66</v>
      </c>
      <c r="N71" s="35">
        <v>1220</v>
      </c>
      <c r="O71" s="35">
        <v>2685</v>
      </c>
      <c r="P71" s="35">
        <v>1155</v>
      </c>
      <c r="Q71" s="35">
        <v>2540</v>
      </c>
      <c r="S71" s="35">
        <v>0.75</v>
      </c>
      <c r="T71" s="35">
        <v>0.68</v>
      </c>
      <c r="U71" s="35">
        <v>3</v>
      </c>
      <c r="V71" s="35">
        <v>0.35</v>
      </c>
      <c r="W71" s="35">
        <v>1.81</v>
      </c>
      <c r="X71" s="35">
        <v>1.9</v>
      </c>
      <c r="Y71" s="35">
        <v>1.1000000000000001</v>
      </c>
      <c r="Z71" s="35">
        <v>2.6</v>
      </c>
      <c r="AA71" s="35">
        <v>3.5</v>
      </c>
      <c r="AB71" s="35">
        <v>3.7</v>
      </c>
      <c r="AC71" s="35">
        <v>1.9</v>
      </c>
      <c r="AE71" s="35" t="s">
        <v>74</v>
      </c>
      <c r="AF71" s="35" t="s">
        <v>74</v>
      </c>
      <c r="AG71" s="35" t="s">
        <v>408</v>
      </c>
      <c r="AH71" s="35">
        <v>0.2</v>
      </c>
      <c r="AI71" s="35">
        <v>5.2</v>
      </c>
      <c r="AJ71" s="35">
        <v>5.8</v>
      </c>
      <c r="AK71" s="35">
        <v>140</v>
      </c>
      <c r="AL71" s="35">
        <v>600</v>
      </c>
      <c r="AM71" s="35">
        <v>2200</v>
      </c>
      <c r="AN71" s="35">
        <v>90</v>
      </c>
      <c r="AO71" s="35">
        <v>59.4</v>
      </c>
      <c r="AQ71" s="35">
        <v>1.2</v>
      </c>
      <c r="AR71" s="35">
        <v>0.6</v>
      </c>
      <c r="AS71" s="35">
        <v>0.9</v>
      </c>
      <c r="AT71" s="35">
        <v>0.4</v>
      </c>
      <c r="AU71" s="35">
        <v>0.5</v>
      </c>
      <c r="AV71" s="35">
        <v>9.5</v>
      </c>
      <c r="AW71" s="35">
        <v>440</v>
      </c>
      <c r="AX71" s="35">
        <v>10</v>
      </c>
      <c r="AY71" s="35">
        <v>100</v>
      </c>
      <c r="AZ71" s="35">
        <v>0.4</v>
      </c>
    </row>
    <row r="72" spans="1:52" x14ac:dyDescent="0.25">
      <c r="A72" s="36" t="s">
        <v>629</v>
      </c>
      <c r="B72" s="36" t="s">
        <v>628</v>
      </c>
      <c r="C72" s="35">
        <v>96</v>
      </c>
      <c r="D72" s="35">
        <v>25.5</v>
      </c>
      <c r="E72" s="35">
        <v>26.7</v>
      </c>
      <c r="F72" s="35">
        <v>0.1</v>
      </c>
      <c r="G72" s="35">
        <v>0.9</v>
      </c>
      <c r="H72" s="35">
        <v>0.72</v>
      </c>
      <c r="I72" s="35">
        <v>0.72</v>
      </c>
      <c r="J72" s="35">
        <v>5.6</v>
      </c>
      <c r="L72" s="35" t="s">
        <v>105</v>
      </c>
      <c r="M72" s="35">
        <v>110</v>
      </c>
      <c r="N72" s="35" t="s">
        <v>411</v>
      </c>
      <c r="O72" s="35" t="s">
        <v>411</v>
      </c>
      <c r="P72" s="35" t="s">
        <v>411</v>
      </c>
      <c r="Q72" s="35" t="s">
        <v>411</v>
      </c>
      <c r="S72" s="35">
        <v>0.62</v>
      </c>
      <c r="T72" s="35">
        <v>0.4</v>
      </c>
      <c r="U72" s="35">
        <v>2.2599999999999998</v>
      </c>
      <c r="V72" s="35">
        <v>0.41</v>
      </c>
      <c r="W72" s="35">
        <v>1.03</v>
      </c>
      <c r="X72" s="35">
        <v>1.33</v>
      </c>
      <c r="Y72" s="35">
        <v>0.72</v>
      </c>
      <c r="Z72" s="35">
        <v>1.74</v>
      </c>
      <c r="AA72" s="35">
        <v>2.57</v>
      </c>
      <c r="AB72" s="35">
        <v>0.92</v>
      </c>
      <c r="AC72" s="35">
        <v>1.33</v>
      </c>
      <c r="AE72" s="35">
        <v>6</v>
      </c>
      <c r="AF72" s="35">
        <v>11.1</v>
      </c>
      <c r="AG72" s="35" t="s">
        <v>411</v>
      </c>
      <c r="AH72" s="35" t="s">
        <v>411</v>
      </c>
      <c r="AI72" s="35">
        <v>17.2</v>
      </c>
      <c r="AJ72" s="35">
        <v>23.3</v>
      </c>
      <c r="AK72" s="35">
        <v>380</v>
      </c>
      <c r="AL72" s="35" t="s">
        <v>411</v>
      </c>
      <c r="AM72" s="35" t="s">
        <v>411</v>
      </c>
      <c r="AN72" s="35" t="s">
        <v>411</v>
      </c>
      <c r="AO72" s="35">
        <v>7.7</v>
      </c>
      <c r="AQ72" s="35">
        <v>0.38</v>
      </c>
      <c r="AR72" s="35">
        <v>1.1299999999999999</v>
      </c>
      <c r="AS72" s="35">
        <v>0.9</v>
      </c>
      <c r="AT72" s="35" t="s">
        <v>411</v>
      </c>
      <c r="AU72" s="35" t="s">
        <v>411</v>
      </c>
      <c r="AV72" s="35">
        <v>0.5</v>
      </c>
      <c r="AW72" s="35">
        <v>90</v>
      </c>
      <c r="AX72" s="35">
        <v>0.9</v>
      </c>
      <c r="AY72" s="35" t="s">
        <v>411</v>
      </c>
      <c r="AZ72" s="35" t="s">
        <v>411</v>
      </c>
    </row>
    <row r="73" spans="1:52" x14ac:dyDescent="0.25">
      <c r="A73" s="36" t="s">
        <v>627</v>
      </c>
      <c r="B73" s="36" t="s">
        <v>626</v>
      </c>
      <c r="C73" s="35">
        <v>90</v>
      </c>
      <c r="D73" s="35">
        <v>12</v>
      </c>
      <c r="E73" s="35">
        <v>4.2</v>
      </c>
      <c r="F73" s="35">
        <v>1.8</v>
      </c>
      <c r="G73" s="35">
        <v>0.05</v>
      </c>
      <c r="H73" s="35">
        <v>0.3</v>
      </c>
      <c r="I73" s="35">
        <v>0.1</v>
      </c>
      <c r="J73" s="35">
        <v>2.5</v>
      </c>
      <c r="L73" s="35">
        <v>7</v>
      </c>
      <c r="M73" s="35">
        <v>69</v>
      </c>
      <c r="N73" s="35">
        <v>1470</v>
      </c>
      <c r="O73" s="35">
        <v>3240</v>
      </c>
      <c r="P73" s="35">
        <v>1310</v>
      </c>
      <c r="Q73" s="35">
        <v>2880</v>
      </c>
      <c r="S73" s="35">
        <v>0.28000000000000003</v>
      </c>
      <c r="T73" s="35">
        <v>0.24</v>
      </c>
      <c r="U73" s="35">
        <v>0.35</v>
      </c>
      <c r="V73" s="35">
        <v>0.2</v>
      </c>
      <c r="W73" s="35">
        <v>0.44</v>
      </c>
      <c r="X73" s="35">
        <v>0.52</v>
      </c>
      <c r="Y73" s="35">
        <v>0.3</v>
      </c>
      <c r="Z73" s="35">
        <v>0.7</v>
      </c>
      <c r="AA73" s="35">
        <v>1.3</v>
      </c>
      <c r="AB73" s="35">
        <v>0.55000000000000004</v>
      </c>
      <c r="AC73" s="35">
        <v>0.62</v>
      </c>
      <c r="AE73" s="35" t="s">
        <v>74</v>
      </c>
      <c r="AF73" s="35" t="s">
        <v>74</v>
      </c>
      <c r="AG73" s="35" t="s">
        <v>411</v>
      </c>
      <c r="AH73" s="35">
        <v>6.6</v>
      </c>
      <c r="AI73" s="35">
        <v>1.6</v>
      </c>
      <c r="AJ73" s="35">
        <v>7.4</v>
      </c>
      <c r="AK73" s="35" t="s">
        <v>411</v>
      </c>
      <c r="AL73" s="35" t="s">
        <v>411</v>
      </c>
      <c r="AM73" s="35">
        <v>789</v>
      </c>
      <c r="AN73" s="35" t="s">
        <v>408</v>
      </c>
      <c r="AO73" s="35">
        <v>52.6</v>
      </c>
      <c r="AQ73" s="35">
        <v>0.04</v>
      </c>
      <c r="AR73" s="35">
        <v>0.43</v>
      </c>
      <c r="AS73" s="35">
        <v>0.64</v>
      </c>
      <c r="AT73" s="35">
        <v>0.16</v>
      </c>
      <c r="AU73" s="35">
        <v>0.13</v>
      </c>
      <c r="AV73" s="35">
        <v>29</v>
      </c>
      <c r="AW73" s="35">
        <v>40</v>
      </c>
      <c r="AX73" s="35">
        <v>21.6</v>
      </c>
      <c r="AY73" s="35">
        <v>13.9</v>
      </c>
      <c r="AZ73" s="35" t="s">
        <v>411</v>
      </c>
    </row>
    <row r="74" spans="1:52" x14ac:dyDescent="0.25">
      <c r="A74" s="36" t="s">
        <v>625</v>
      </c>
      <c r="B74" s="36" t="s">
        <v>624</v>
      </c>
      <c r="C74" s="35">
        <v>79</v>
      </c>
      <c r="D74" s="35">
        <v>7.6</v>
      </c>
      <c r="E74" s="35">
        <v>0</v>
      </c>
      <c r="F74" s="35">
        <v>0</v>
      </c>
      <c r="G74" s="35">
        <v>0.1</v>
      </c>
      <c r="H74" s="35">
        <v>0.02</v>
      </c>
      <c r="I74" s="35" t="s">
        <v>408</v>
      </c>
      <c r="J74" s="35">
        <v>10.5</v>
      </c>
      <c r="L74" s="35">
        <v>4.2</v>
      </c>
      <c r="M74" s="35">
        <v>61</v>
      </c>
      <c r="N74" s="35">
        <v>900</v>
      </c>
      <c r="O74" s="35">
        <v>1980</v>
      </c>
      <c r="P74" s="35">
        <v>1055</v>
      </c>
      <c r="Q74" s="35">
        <v>2320</v>
      </c>
      <c r="S74" s="35" t="s">
        <v>408</v>
      </c>
      <c r="T74" s="35" t="s">
        <v>408</v>
      </c>
      <c r="U74" s="35" t="s">
        <v>408</v>
      </c>
      <c r="V74" s="35" t="s">
        <v>408</v>
      </c>
      <c r="W74" s="35" t="s">
        <v>408</v>
      </c>
      <c r="X74" s="35" t="s">
        <v>408</v>
      </c>
      <c r="Y74" s="35" t="s">
        <v>408</v>
      </c>
      <c r="Z74" s="35" t="s">
        <v>408</v>
      </c>
      <c r="AA74" s="35" t="s">
        <v>408</v>
      </c>
      <c r="AB74" s="35" t="s">
        <v>408</v>
      </c>
      <c r="AC74" s="35" t="s">
        <v>408</v>
      </c>
      <c r="AE74" s="35" t="s">
        <v>74</v>
      </c>
      <c r="AF74" s="35" t="s">
        <v>74</v>
      </c>
      <c r="AG74" s="35" t="s">
        <v>408</v>
      </c>
      <c r="AH74" s="35" t="s">
        <v>411</v>
      </c>
      <c r="AI74" s="35">
        <v>2.4</v>
      </c>
      <c r="AJ74" s="35">
        <v>4.5999999999999996</v>
      </c>
      <c r="AK74" s="35" t="s">
        <v>411</v>
      </c>
      <c r="AL74" s="35" t="s">
        <v>408</v>
      </c>
      <c r="AM74" s="35" t="s">
        <v>411</v>
      </c>
      <c r="AN74" s="35" t="s">
        <v>408</v>
      </c>
      <c r="AO74" s="35">
        <v>48</v>
      </c>
      <c r="AQ74" s="35">
        <v>1.17</v>
      </c>
      <c r="AR74" s="35">
        <v>4.7699999999999996</v>
      </c>
      <c r="AS74" s="35">
        <v>1.3</v>
      </c>
      <c r="AT74" s="35">
        <v>0.23</v>
      </c>
      <c r="AU74" s="35">
        <v>0.47</v>
      </c>
      <c r="AV74" s="35">
        <v>4.5999999999999996</v>
      </c>
      <c r="AW74" s="35">
        <v>100</v>
      </c>
      <c r="AX74" s="35">
        <v>17.600000000000001</v>
      </c>
      <c r="AY74" s="35" t="s">
        <v>408</v>
      </c>
      <c r="AZ74" s="35" t="s">
        <v>411</v>
      </c>
    </row>
    <row r="75" spans="1:52" x14ac:dyDescent="0.25">
      <c r="A75" s="36" t="s">
        <v>623</v>
      </c>
      <c r="B75" s="36" t="s">
        <v>622</v>
      </c>
      <c r="C75" s="35">
        <v>74</v>
      </c>
      <c r="D75" s="35">
        <v>2.9</v>
      </c>
      <c r="E75" s="35">
        <v>0</v>
      </c>
      <c r="F75" s="35">
        <v>0</v>
      </c>
      <c r="G75" s="35">
        <v>0.82</v>
      </c>
      <c r="H75" s="35">
        <v>0.08</v>
      </c>
      <c r="I75" s="35" t="s">
        <v>408</v>
      </c>
      <c r="J75" s="35">
        <v>8.1</v>
      </c>
      <c r="L75" s="35">
        <v>1.8</v>
      </c>
      <c r="M75" s="35">
        <v>54</v>
      </c>
      <c r="N75" s="35">
        <v>900</v>
      </c>
      <c r="O75" s="35">
        <v>1980</v>
      </c>
      <c r="P75" s="35">
        <v>1065</v>
      </c>
      <c r="Q75" s="35">
        <v>2345</v>
      </c>
      <c r="S75" s="35" t="s">
        <v>408</v>
      </c>
      <c r="T75" s="35" t="s">
        <v>408</v>
      </c>
      <c r="U75" s="35" t="s">
        <v>408</v>
      </c>
      <c r="V75" s="35" t="s">
        <v>408</v>
      </c>
      <c r="W75" s="35" t="s">
        <v>408</v>
      </c>
      <c r="X75" s="35" t="s">
        <v>408</v>
      </c>
      <c r="Y75" s="35" t="s">
        <v>408</v>
      </c>
      <c r="Z75" s="35" t="s">
        <v>408</v>
      </c>
      <c r="AA75" s="35" t="s">
        <v>408</v>
      </c>
      <c r="AB75" s="35" t="s">
        <v>408</v>
      </c>
      <c r="AC75" s="35" t="s">
        <v>408</v>
      </c>
      <c r="AE75" s="35" t="s">
        <v>74</v>
      </c>
      <c r="AF75" s="35" t="s">
        <v>74</v>
      </c>
      <c r="AG75" s="35">
        <v>4.4000000000000004</v>
      </c>
      <c r="AH75" s="35">
        <v>0.9</v>
      </c>
      <c r="AI75" s="35">
        <v>2.2999999999999998</v>
      </c>
      <c r="AJ75" s="35">
        <v>39</v>
      </c>
      <c r="AK75" s="35">
        <v>700</v>
      </c>
      <c r="AL75" s="35" t="s">
        <v>408</v>
      </c>
      <c r="AM75" s="35">
        <v>660</v>
      </c>
      <c r="AN75" s="35" t="s">
        <v>408</v>
      </c>
      <c r="AO75" s="35">
        <v>45</v>
      </c>
      <c r="AQ75" s="35">
        <v>0.16</v>
      </c>
      <c r="AR75" s="35">
        <v>2.38</v>
      </c>
      <c r="AS75" s="35">
        <v>2.8</v>
      </c>
      <c r="AT75" s="35">
        <v>0.35</v>
      </c>
      <c r="AU75" s="35">
        <v>0.35</v>
      </c>
      <c r="AV75" s="35">
        <v>42.2</v>
      </c>
      <c r="AW75" s="35">
        <v>200</v>
      </c>
      <c r="AX75" s="35">
        <v>59.6</v>
      </c>
      <c r="AY75" s="35" t="s">
        <v>408</v>
      </c>
      <c r="AZ75" s="35" t="s">
        <v>411</v>
      </c>
    </row>
    <row r="76" spans="1:52" x14ac:dyDescent="0.25">
      <c r="A76" s="36" t="s">
        <v>621</v>
      </c>
      <c r="B76" s="36" t="s">
        <v>620</v>
      </c>
      <c r="C76" s="35">
        <v>91</v>
      </c>
      <c r="D76" s="35">
        <v>7</v>
      </c>
      <c r="E76" s="35">
        <v>0.5</v>
      </c>
      <c r="F76" s="35">
        <v>9</v>
      </c>
      <c r="G76" s="35">
        <v>1.18</v>
      </c>
      <c r="H76" s="35">
        <v>0.9</v>
      </c>
      <c r="I76" s="35" t="s">
        <v>408</v>
      </c>
      <c r="J76" s="35">
        <v>8</v>
      </c>
      <c r="L76" s="35">
        <v>5.5</v>
      </c>
      <c r="M76" s="35">
        <v>80</v>
      </c>
      <c r="N76" s="35">
        <v>1080</v>
      </c>
      <c r="O76" s="35">
        <v>2375</v>
      </c>
      <c r="P76" s="35">
        <v>1165</v>
      </c>
      <c r="Q76" s="35">
        <v>2560</v>
      </c>
      <c r="S76" s="35" t="s">
        <v>408</v>
      </c>
      <c r="T76" s="35" t="s">
        <v>408</v>
      </c>
      <c r="U76" s="35" t="s">
        <v>408</v>
      </c>
      <c r="V76" s="35" t="s">
        <v>408</v>
      </c>
      <c r="W76" s="35" t="s">
        <v>408</v>
      </c>
      <c r="X76" s="35" t="s">
        <v>408</v>
      </c>
      <c r="Y76" s="35" t="s">
        <v>408</v>
      </c>
      <c r="Z76" s="35" t="s">
        <v>408</v>
      </c>
      <c r="AA76" s="35" t="s">
        <v>408</v>
      </c>
      <c r="AB76" s="35" t="s">
        <v>408</v>
      </c>
      <c r="AC76" s="35" t="s">
        <v>408</v>
      </c>
      <c r="AE76" s="35" t="s">
        <v>74</v>
      </c>
      <c r="AF76" s="35" t="s">
        <v>74</v>
      </c>
      <c r="AG76" s="35">
        <v>5.4</v>
      </c>
      <c r="AH76" s="35" t="s">
        <v>411</v>
      </c>
      <c r="AI76" s="35" t="s">
        <v>411</v>
      </c>
      <c r="AJ76" s="35" t="s">
        <v>411</v>
      </c>
      <c r="AK76" s="35" t="s">
        <v>411</v>
      </c>
      <c r="AL76" s="35" t="s">
        <v>411</v>
      </c>
      <c r="AM76" s="35" t="s">
        <v>411</v>
      </c>
      <c r="AN76" s="35" t="s">
        <v>408</v>
      </c>
      <c r="AO76" s="35" t="s">
        <v>411</v>
      </c>
      <c r="AQ76" s="35" t="s">
        <v>105</v>
      </c>
      <c r="AR76" s="35" t="s">
        <v>105</v>
      </c>
      <c r="AS76" s="35" t="s">
        <v>411</v>
      </c>
      <c r="AT76" s="35" t="s">
        <v>411</v>
      </c>
      <c r="AU76" s="35" t="s">
        <v>411</v>
      </c>
      <c r="AV76" s="35" t="s">
        <v>411</v>
      </c>
      <c r="AW76" s="35" t="s">
        <v>411</v>
      </c>
      <c r="AX76" s="35" t="s">
        <v>411</v>
      </c>
      <c r="AY76" s="35" t="s">
        <v>411</v>
      </c>
      <c r="AZ76" s="35" t="s">
        <v>411</v>
      </c>
    </row>
    <row r="77" spans="1:52" x14ac:dyDescent="0.25">
      <c r="A77" s="36" t="s">
        <v>619</v>
      </c>
      <c r="B77" s="36" t="s">
        <v>618</v>
      </c>
      <c r="C77" s="35">
        <v>68</v>
      </c>
      <c r="D77" s="35">
        <v>5.7</v>
      </c>
      <c r="E77" s="35">
        <v>0.2</v>
      </c>
      <c r="F77" s="35" t="s">
        <v>408</v>
      </c>
      <c r="G77" s="35">
        <v>1.2</v>
      </c>
      <c r="H77" s="35">
        <v>0.12</v>
      </c>
      <c r="I77" s="35" t="s">
        <v>408</v>
      </c>
      <c r="J77" s="35">
        <v>5.4</v>
      </c>
      <c r="L77" s="35">
        <v>2.5</v>
      </c>
      <c r="M77" s="35">
        <v>52</v>
      </c>
      <c r="N77" s="35" t="s">
        <v>411</v>
      </c>
      <c r="O77" s="35" t="s">
        <v>411</v>
      </c>
      <c r="P77" s="35">
        <v>1030</v>
      </c>
      <c r="Q77" s="35">
        <v>2264</v>
      </c>
      <c r="S77" s="35" t="s">
        <v>408</v>
      </c>
      <c r="T77" s="35" t="s">
        <v>408</v>
      </c>
      <c r="U77" s="35" t="s">
        <v>408</v>
      </c>
      <c r="V77" s="35" t="s">
        <v>408</v>
      </c>
      <c r="W77" s="35" t="s">
        <v>408</v>
      </c>
      <c r="X77" s="35" t="s">
        <v>408</v>
      </c>
      <c r="Y77" s="35" t="s">
        <v>408</v>
      </c>
      <c r="Z77" s="35" t="s">
        <v>408</v>
      </c>
      <c r="AA77" s="35" t="s">
        <v>408</v>
      </c>
      <c r="AB77" s="35" t="s">
        <v>408</v>
      </c>
      <c r="AC77" s="35" t="s">
        <v>408</v>
      </c>
      <c r="AE77" s="35" t="s">
        <v>74</v>
      </c>
      <c r="AF77" s="35" t="s">
        <v>74</v>
      </c>
      <c r="AG77" s="35" t="s">
        <v>408</v>
      </c>
      <c r="AH77" s="35">
        <v>6.4</v>
      </c>
      <c r="AI77" s="35">
        <v>13.1</v>
      </c>
      <c r="AJ77" s="35" t="s">
        <v>408</v>
      </c>
      <c r="AK77" s="35" t="s">
        <v>408</v>
      </c>
      <c r="AL77" s="35" t="s">
        <v>408</v>
      </c>
      <c r="AM77" s="35" t="s">
        <v>408</v>
      </c>
      <c r="AN77" s="35">
        <v>27.8</v>
      </c>
      <c r="AO77" s="35">
        <v>0.3</v>
      </c>
      <c r="AQ77" s="35">
        <v>0.09</v>
      </c>
      <c r="AR77" s="35">
        <v>0.14000000000000001</v>
      </c>
      <c r="AS77" s="35" t="s">
        <v>411</v>
      </c>
      <c r="AT77" s="35" t="s">
        <v>408</v>
      </c>
      <c r="AU77" s="35">
        <v>26.1</v>
      </c>
      <c r="AV77" s="35">
        <v>340</v>
      </c>
      <c r="AW77" s="35">
        <v>73.099999999999994</v>
      </c>
      <c r="AX77" s="35">
        <v>92.8</v>
      </c>
      <c r="AY77" s="35" t="s">
        <v>411</v>
      </c>
      <c r="AZ77" s="35" t="s">
        <v>408</v>
      </c>
    </row>
    <row r="78" spans="1:52" x14ac:dyDescent="0.25">
      <c r="A78" s="36" t="s">
        <v>617</v>
      </c>
      <c r="B78" s="36" t="s">
        <v>616</v>
      </c>
      <c r="C78" s="35">
        <v>73</v>
      </c>
      <c r="D78" s="35">
        <v>0.1</v>
      </c>
      <c r="E78" s="35" t="s">
        <v>408</v>
      </c>
      <c r="F78" s="35" t="s">
        <v>408</v>
      </c>
      <c r="G78" s="35">
        <v>0.1</v>
      </c>
      <c r="H78" s="35">
        <v>0.6</v>
      </c>
      <c r="I78" s="35" t="s">
        <v>408</v>
      </c>
      <c r="J78" s="35">
        <v>8</v>
      </c>
      <c r="L78" s="35" t="s">
        <v>74</v>
      </c>
      <c r="M78" s="35">
        <v>65</v>
      </c>
      <c r="N78" s="35" t="s">
        <v>411</v>
      </c>
      <c r="O78" s="35" t="s">
        <v>411</v>
      </c>
      <c r="P78" s="35" t="s">
        <v>411</v>
      </c>
      <c r="Q78" s="35" t="s">
        <v>411</v>
      </c>
      <c r="S78" s="35" t="s">
        <v>408</v>
      </c>
      <c r="T78" s="35" t="s">
        <v>408</v>
      </c>
      <c r="U78" s="35" t="s">
        <v>408</v>
      </c>
      <c r="V78" s="35" t="s">
        <v>408</v>
      </c>
      <c r="W78" s="35" t="s">
        <v>408</v>
      </c>
      <c r="X78" s="35" t="s">
        <v>408</v>
      </c>
      <c r="Y78" s="35" t="s">
        <v>408</v>
      </c>
      <c r="Z78" s="35" t="s">
        <v>408</v>
      </c>
      <c r="AA78" s="35" t="s">
        <v>408</v>
      </c>
      <c r="AB78" s="35" t="s">
        <v>408</v>
      </c>
      <c r="AC78" s="35" t="s">
        <v>408</v>
      </c>
      <c r="AE78" s="35" t="s">
        <v>74</v>
      </c>
      <c r="AF78" s="35" t="s">
        <v>74</v>
      </c>
      <c r="AG78" s="35" t="s">
        <v>408</v>
      </c>
      <c r="AH78" s="35" t="s">
        <v>408</v>
      </c>
      <c r="AI78" s="35" t="s">
        <v>408</v>
      </c>
      <c r="AJ78" s="35" t="s">
        <v>408</v>
      </c>
      <c r="AK78" s="35" t="s">
        <v>408</v>
      </c>
      <c r="AL78" s="35" t="s">
        <v>408</v>
      </c>
      <c r="AM78" s="35" t="s">
        <v>408</v>
      </c>
      <c r="AN78" s="35" t="s">
        <v>408</v>
      </c>
      <c r="AO78" s="35" t="s">
        <v>408</v>
      </c>
      <c r="AQ78" s="35">
        <v>2.5</v>
      </c>
      <c r="AR78" s="35">
        <v>0.2</v>
      </c>
      <c r="AS78" s="35" t="s">
        <v>411</v>
      </c>
      <c r="AT78" s="35" t="s">
        <v>408</v>
      </c>
      <c r="AU78" s="35">
        <v>1</v>
      </c>
      <c r="AV78" s="35" t="s">
        <v>408</v>
      </c>
      <c r="AW78" s="35" t="s">
        <v>408</v>
      </c>
      <c r="AX78" s="35" t="s">
        <v>408</v>
      </c>
      <c r="AY78" s="35" t="s">
        <v>408</v>
      </c>
      <c r="AZ78" s="35" t="s">
        <v>408</v>
      </c>
    </row>
    <row r="79" spans="1:52" x14ac:dyDescent="0.25">
      <c r="A79" s="36" t="s">
        <v>615</v>
      </c>
      <c r="B79" s="36" t="s">
        <v>614</v>
      </c>
      <c r="C79" s="35">
        <v>90</v>
      </c>
      <c r="D79" s="35">
        <v>11</v>
      </c>
      <c r="E79" s="35">
        <v>4</v>
      </c>
      <c r="F79" s="35">
        <v>10.5</v>
      </c>
      <c r="G79" s="35">
        <v>0.1</v>
      </c>
      <c r="H79" s="35">
        <v>0.35</v>
      </c>
      <c r="I79" s="35">
        <v>0.14000000000000001</v>
      </c>
      <c r="J79" s="35">
        <v>4</v>
      </c>
      <c r="L79" s="35">
        <v>8.8000000000000007</v>
      </c>
      <c r="M79" s="35">
        <v>68</v>
      </c>
      <c r="N79" s="35">
        <v>1160</v>
      </c>
      <c r="O79" s="35">
        <v>2550</v>
      </c>
      <c r="P79" s="35">
        <v>1215</v>
      </c>
      <c r="Q79" s="35">
        <v>2670</v>
      </c>
      <c r="S79" s="35" t="s">
        <v>613</v>
      </c>
      <c r="T79" s="35" t="s">
        <v>612</v>
      </c>
      <c r="U79" s="35" t="s">
        <v>611</v>
      </c>
      <c r="V79" s="35">
        <v>0.18</v>
      </c>
      <c r="W79" s="35" t="s">
        <v>610</v>
      </c>
      <c r="X79" s="35" t="s">
        <v>609</v>
      </c>
      <c r="Y79" s="35" t="s">
        <v>608</v>
      </c>
      <c r="Z79" s="35" t="s">
        <v>607</v>
      </c>
      <c r="AA79" s="35" t="s">
        <v>592</v>
      </c>
      <c r="AB79" s="35" t="s">
        <v>606</v>
      </c>
      <c r="AC79" s="35" t="s">
        <v>605</v>
      </c>
      <c r="AE79" s="35" t="s">
        <v>74</v>
      </c>
      <c r="AF79" s="35" t="s">
        <v>74</v>
      </c>
      <c r="AG79" s="35">
        <v>20</v>
      </c>
      <c r="AH79" s="35">
        <v>6.4</v>
      </c>
      <c r="AI79" s="35">
        <v>1.6</v>
      </c>
      <c r="AJ79" s="35">
        <v>14.9</v>
      </c>
      <c r="AK79" s="35">
        <v>300</v>
      </c>
      <c r="AL79" s="35">
        <v>400</v>
      </c>
      <c r="AM79" s="35">
        <v>1070</v>
      </c>
      <c r="AN79" s="35" t="s">
        <v>408</v>
      </c>
      <c r="AO79" s="35">
        <v>18</v>
      </c>
      <c r="AQ79" s="35">
        <v>7.0000000000000007E-2</v>
      </c>
      <c r="AR79" s="35">
        <v>0.37</v>
      </c>
      <c r="AS79" s="35">
        <v>0.12</v>
      </c>
      <c r="AT79" s="35">
        <v>0.17</v>
      </c>
      <c r="AU79" s="35">
        <v>0.21</v>
      </c>
      <c r="AV79" s="35">
        <v>38.200000000000003</v>
      </c>
      <c r="AW79" s="35">
        <v>70</v>
      </c>
      <c r="AX79" s="35">
        <v>5.9</v>
      </c>
      <c r="AY79" s="35">
        <v>38</v>
      </c>
      <c r="AZ79" s="35">
        <v>0.3</v>
      </c>
    </row>
    <row r="80" spans="1:52" x14ac:dyDescent="0.25">
      <c r="A80" s="36" t="s">
        <v>604</v>
      </c>
      <c r="B80" s="36" t="s">
        <v>603</v>
      </c>
      <c r="C80" s="35">
        <v>90</v>
      </c>
      <c r="D80" s="35">
        <v>9.8000000000000007</v>
      </c>
      <c r="E80" s="35">
        <v>4.5</v>
      </c>
      <c r="F80" s="35">
        <v>10.5</v>
      </c>
      <c r="G80" s="35">
        <v>0.09</v>
      </c>
      <c r="H80" s="35">
        <v>0.33</v>
      </c>
      <c r="I80" s="35">
        <v>0.13</v>
      </c>
      <c r="J80" s="35">
        <v>4</v>
      </c>
      <c r="L80" s="35">
        <v>6.9</v>
      </c>
      <c r="M80" s="35">
        <v>70</v>
      </c>
      <c r="N80" s="35">
        <v>1185</v>
      </c>
      <c r="O80" s="35">
        <v>2610</v>
      </c>
      <c r="P80" s="35">
        <v>1305</v>
      </c>
      <c r="Q80" s="35">
        <v>2870</v>
      </c>
      <c r="S80" s="35">
        <v>0.14000000000000001</v>
      </c>
      <c r="T80" s="35">
        <v>0.18</v>
      </c>
      <c r="U80" s="35">
        <v>0.38</v>
      </c>
      <c r="V80" s="35">
        <v>0.12</v>
      </c>
      <c r="W80" s="35">
        <v>0.28000000000000003</v>
      </c>
      <c r="X80" s="35">
        <v>0.37</v>
      </c>
      <c r="Y80" s="35">
        <v>0.15</v>
      </c>
      <c r="Z80" s="35">
        <v>0.48</v>
      </c>
      <c r="AA80" s="35">
        <v>0.7</v>
      </c>
      <c r="AB80" s="35">
        <v>0.6</v>
      </c>
      <c r="AC80" s="35">
        <v>0.42</v>
      </c>
      <c r="AE80" s="35" t="s">
        <v>74</v>
      </c>
      <c r="AF80" s="35" t="s">
        <v>74</v>
      </c>
      <c r="AG80" s="35">
        <v>20</v>
      </c>
      <c r="AH80" s="35" t="s">
        <v>411</v>
      </c>
      <c r="AI80" s="35">
        <v>1.3</v>
      </c>
      <c r="AJ80" s="35">
        <v>10</v>
      </c>
      <c r="AK80" s="35" t="s">
        <v>411</v>
      </c>
      <c r="AL80" s="35" t="s">
        <v>411</v>
      </c>
      <c r="AM80" s="35">
        <v>900</v>
      </c>
      <c r="AN80" s="35" t="s">
        <v>408</v>
      </c>
      <c r="AO80" s="35">
        <v>14.3</v>
      </c>
      <c r="AQ80" s="35">
        <v>0.1</v>
      </c>
      <c r="AR80" s="35">
        <v>0.4</v>
      </c>
      <c r="AS80" s="35">
        <v>0.12</v>
      </c>
      <c r="AT80" s="35">
        <v>0.2</v>
      </c>
      <c r="AU80" s="35">
        <v>0.21</v>
      </c>
      <c r="AV80" s="35">
        <v>40</v>
      </c>
      <c r="AW80" s="35">
        <v>70</v>
      </c>
      <c r="AX80" s="35" t="s">
        <v>411</v>
      </c>
      <c r="AY80" s="35" t="s">
        <v>411</v>
      </c>
      <c r="AZ80" s="35">
        <v>0.1</v>
      </c>
    </row>
    <row r="81" spans="1:52" x14ac:dyDescent="0.25">
      <c r="A81" s="36" t="s">
        <v>602</v>
      </c>
      <c r="B81" s="36" t="s">
        <v>601</v>
      </c>
      <c r="C81" s="35">
        <v>92</v>
      </c>
      <c r="D81" s="35">
        <v>16</v>
      </c>
      <c r="E81" s="35">
        <v>6</v>
      </c>
      <c r="F81" s="35">
        <v>2.6</v>
      </c>
      <c r="G81" s="35">
        <v>7.0000000000000007E-2</v>
      </c>
      <c r="H81" s="35">
        <v>0.45</v>
      </c>
      <c r="I81" s="35">
        <v>0.17</v>
      </c>
      <c r="J81" s="35">
        <v>2.2000000000000002</v>
      </c>
      <c r="L81" s="35">
        <v>11.7</v>
      </c>
      <c r="M81" s="35">
        <v>90</v>
      </c>
      <c r="N81" s="35">
        <v>1500</v>
      </c>
      <c r="O81" s="35">
        <v>3300</v>
      </c>
      <c r="P81" s="35">
        <v>1545</v>
      </c>
      <c r="Q81" s="35">
        <v>3400</v>
      </c>
      <c r="S81" s="35" t="s">
        <v>600</v>
      </c>
      <c r="T81" s="35" t="s">
        <v>599</v>
      </c>
      <c r="U81" s="35" t="s">
        <v>598</v>
      </c>
      <c r="V81" s="35">
        <v>0.18</v>
      </c>
      <c r="W81" s="35" t="s">
        <v>597</v>
      </c>
      <c r="X81" s="35" t="s">
        <v>596</v>
      </c>
      <c r="Y81" s="35" t="s">
        <v>595</v>
      </c>
      <c r="Z81" s="35" t="s">
        <v>594</v>
      </c>
      <c r="AA81" s="35" t="s">
        <v>593</v>
      </c>
      <c r="AB81" s="35" t="s">
        <v>592</v>
      </c>
      <c r="AC81" s="35" t="s">
        <v>591</v>
      </c>
      <c r="AE81" s="35" t="s">
        <v>74</v>
      </c>
      <c r="AF81" s="35" t="s">
        <v>74</v>
      </c>
      <c r="AG81" s="35">
        <v>15</v>
      </c>
      <c r="AH81" s="35">
        <v>6.8</v>
      </c>
      <c r="AI81" s="35">
        <v>1.3</v>
      </c>
      <c r="AJ81" s="35">
        <v>11</v>
      </c>
      <c r="AK81" s="35">
        <v>200</v>
      </c>
      <c r="AL81" s="35">
        <v>300</v>
      </c>
      <c r="AM81" s="35">
        <v>1232</v>
      </c>
      <c r="AN81" s="35" t="s">
        <v>408</v>
      </c>
      <c r="AO81" s="35">
        <v>18</v>
      </c>
      <c r="AQ81" s="35">
        <v>0.05</v>
      </c>
      <c r="AR81" s="35">
        <v>0.34</v>
      </c>
      <c r="AS81" s="35" t="s">
        <v>411</v>
      </c>
      <c r="AT81" s="35">
        <v>0.09</v>
      </c>
      <c r="AU81" s="35">
        <v>0.2</v>
      </c>
      <c r="AV81" s="35">
        <v>28.6</v>
      </c>
      <c r="AW81" s="35">
        <v>35</v>
      </c>
      <c r="AX81" s="35">
        <v>6.4</v>
      </c>
      <c r="AY81" s="35" t="s">
        <v>411</v>
      </c>
      <c r="AZ81" s="35" t="s">
        <v>411</v>
      </c>
    </row>
    <row r="82" spans="1:52" x14ac:dyDescent="0.25">
      <c r="A82" s="36" t="s">
        <v>590</v>
      </c>
      <c r="B82" s="36" t="s">
        <v>589</v>
      </c>
      <c r="C82" s="35">
        <v>93</v>
      </c>
      <c r="D82" s="35">
        <v>3.5</v>
      </c>
      <c r="E82" s="35">
        <v>0.6</v>
      </c>
      <c r="F82" s="35">
        <v>30</v>
      </c>
      <c r="G82" s="35">
        <v>0.1</v>
      </c>
      <c r="H82" s="35">
        <v>0.15</v>
      </c>
      <c r="I82" s="35">
        <v>0.04</v>
      </c>
      <c r="J82" s="35">
        <v>6.5</v>
      </c>
      <c r="L82" s="35">
        <v>1</v>
      </c>
      <c r="M82" s="35">
        <v>37</v>
      </c>
      <c r="N82" s="35">
        <v>160</v>
      </c>
      <c r="O82" s="35">
        <v>350</v>
      </c>
      <c r="P82" s="35">
        <v>340</v>
      </c>
      <c r="Q82" s="35">
        <v>750</v>
      </c>
      <c r="S82" s="35" t="s">
        <v>408</v>
      </c>
      <c r="T82" s="35" t="s">
        <v>408</v>
      </c>
      <c r="U82" s="35" t="s">
        <v>408</v>
      </c>
      <c r="V82" s="35" t="s">
        <v>408</v>
      </c>
      <c r="W82" s="35" t="s">
        <v>408</v>
      </c>
      <c r="X82" s="35" t="s">
        <v>408</v>
      </c>
      <c r="Y82" s="35" t="s">
        <v>408</v>
      </c>
      <c r="Z82" s="35" t="s">
        <v>408</v>
      </c>
      <c r="AA82" s="35" t="s">
        <v>408</v>
      </c>
      <c r="AB82" s="35" t="s">
        <v>408</v>
      </c>
      <c r="AC82" s="35" t="s">
        <v>408</v>
      </c>
      <c r="AE82" s="35" t="s">
        <v>74</v>
      </c>
      <c r="AF82" s="35" t="s">
        <v>74</v>
      </c>
      <c r="AG82" s="35" t="s">
        <v>408</v>
      </c>
      <c r="AH82" s="35" t="s">
        <v>408</v>
      </c>
      <c r="AI82" s="35" t="s">
        <v>408</v>
      </c>
      <c r="AJ82" s="35" t="s">
        <v>408</v>
      </c>
      <c r="AK82" s="35" t="s">
        <v>408</v>
      </c>
      <c r="AL82" s="35" t="s">
        <v>408</v>
      </c>
      <c r="AM82" s="35" t="s">
        <v>408</v>
      </c>
      <c r="AN82" s="35" t="s">
        <v>408</v>
      </c>
      <c r="AO82" s="35" t="s">
        <v>408</v>
      </c>
      <c r="AQ82" s="35" t="s">
        <v>74</v>
      </c>
      <c r="AR82" s="35">
        <v>0.59</v>
      </c>
      <c r="AS82" s="35">
        <v>0.1</v>
      </c>
      <c r="AT82" s="35">
        <v>0.08</v>
      </c>
      <c r="AU82" s="35">
        <v>0.1</v>
      </c>
      <c r="AV82" s="35">
        <v>14</v>
      </c>
      <c r="AW82" s="35">
        <v>100</v>
      </c>
      <c r="AX82" s="35">
        <v>5.0999999999999996</v>
      </c>
      <c r="AY82" s="35" t="s">
        <v>408</v>
      </c>
      <c r="AZ82" s="35" t="s">
        <v>411</v>
      </c>
    </row>
    <row r="83" spans="1:52" x14ac:dyDescent="0.25">
      <c r="A83" s="36" t="s">
        <v>588</v>
      </c>
      <c r="B83" s="36" t="s">
        <v>587</v>
      </c>
      <c r="C83" s="35">
        <v>91</v>
      </c>
      <c r="D83" s="35">
        <v>22</v>
      </c>
      <c r="E83" s="35">
        <v>1</v>
      </c>
      <c r="F83" s="35">
        <v>6</v>
      </c>
      <c r="G83" s="35">
        <v>0.17</v>
      </c>
      <c r="H83" s="35">
        <v>0.32</v>
      </c>
      <c r="I83" s="35">
        <v>0.13</v>
      </c>
      <c r="J83" s="35">
        <v>2.8</v>
      </c>
      <c r="L83" s="35">
        <v>17</v>
      </c>
      <c r="M83" s="35">
        <v>72</v>
      </c>
      <c r="N83" s="35">
        <v>1100</v>
      </c>
      <c r="O83" s="35">
        <v>2420</v>
      </c>
      <c r="P83" s="35">
        <v>1455</v>
      </c>
      <c r="Q83" s="35">
        <v>3200</v>
      </c>
      <c r="S83" s="35">
        <v>0.2</v>
      </c>
      <c r="T83" s="35">
        <v>0.3</v>
      </c>
      <c r="U83" s="35">
        <v>1.2</v>
      </c>
      <c r="V83" s="35">
        <v>0.2</v>
      </c>
      <c r="W83" s="35" t="s">
        <v>411</v>
      </c>
      <c r="X83" s="35" t="s">
        <v>411</v>
      </c>
      <c r="Y83" s="35" t="s">
        <v>411</v>
      </c>
      <c r="Z83" s="35" t="s">
        <v>411</v>
      </c>
      <c r="AA83" s="35" t="s">
        <v>411</v>
      </c>
      <c r="AB83" s="35">
        <v>2.1</v>
      </c>
      <c r="AC83" s="35" t="s">
        <v>411</v>
      </c>
      <c r="AE83" s="35" t="s">
        <v>74</v>
      </c>
      <c r="AF83" s="35" t="s">
        <v>74</v>
      </c>
      <c r="AG83" s="35" t="s">
        <v>411</v>
      </c>
      <c r="AH83" s="35">
        <v>1.8</v>
      </c>
      <c r="AI83" s="35">
        <v>0.8</v>
      </c>
      <c r="AJ83" s="35">
        <v>4.5999999999999996</v>
      </c>
      <c r="AK83" s="35">
        <v>200</v>
      </c>
      <c r="AL83" s="35" t="s">
        <v>411</v>
      </c>
      <c r="AM83" s="35">
        <v>649</v>
      </c>
      <c r="AN83" s="35" t="s">
        <v>408</v>
      </c>
      <c r="AO83" s="35">
        <v>17.2</v>
      </c>
      <c r="AQ83" s="35">
        <v>0.1</v>
      </c>
      <c r="AR83" s="35">
        <v>1</v>
      </c>
      <c r="AS83" s="35">
        <v>0.06</v>
      </c>
      <c r="AT83" s="35">
        <v>0.1</v>
      </c>
      <c r="AU83" s="35" t="s">
        <v>411</v>
      </c>
      <c r="AV83" s="35" t="s">
        <v>411</v>
      </c>
      <c r="AW83" s="35" t="s">
        <v>411</v>
      </c>
      <c r="AX83" s="35" t="s">
        <v>411</v>
      </c>
      <c r="AY83" s="35">
        <v>30</v>
      </c>
      <c r="AZ83" s="35" t="s">
        <v>411</v>
      </c>
    </row>
    <row r="84" spans="1:52" x14ac:dyDescent="0.25">
      <c r="A84" s="36" t="s">
        <v>586</v>
      </c>
      <c r="B84" s="36" t="s">
        <v>585</v>
      </c>
      <c r="C84" s="35">
        <v>90</v>
      </c>
      <c r="D84" s="35">
        <v>47</v>
      </c>
      <c r="E84" s="35">
        <v>2.5</v>
      </c>
      <c r="F84" s="35">
        <v>8.4</v>
      </c>
      <c r="G84" s="35">
        <v>0.08</v>
      </c>
      <c r="H84" s="35">
        <v>0.56999999999999995</v>
      </c>
      <c r="I84" s="35">
        <v>0.18</v>
      </c>
      <c r="J84" s="35">
        <v>5</v>
      </c>
      <c r="L84" s="35">
        <v>42.7</v>
      </c>
      <c r="M84" s="35">
        <v>71</v>
      </c>
      <c r="N84" s="35">
        <v>1217</v>
      </c>
      <c r="O84" s="35">
        <v>2677</v>
      </c>
      <c r="P84" s="35">
        <v>1295</v>
      </c>
      <c r="Q84" s="35">
        <v>2845</v>
      </c>
      <c r="S84" s="35" t="s">
        <v>584</v>
      </c>
      <c r="T84" s="35" t="s">
        <v>583</v>
      </c>
      <c r="U84" s="35" t="s">
        <v>582</v>
      </c>
      <c r="V84" s="35" t="s">
        <v>581</v>
      </c>
      <c r="W84" s="35" t="s">
        <v>580</v>
      </c>
      <c r="X84" s="35" t="s">
        <v>579</v>
      </c>
      <c r="Y84" s="35" t="s">
        <v>578</v>
      </c>
      <c r="Z84" s="35" t="s">
        <v>577</v>
      </c>
      <c r="AA84" s="35" t="s">
        <v>576</v>
      </c>
      <c r="AB84" s="35" t="s">
        <v>575</v>
      </c>
      <c r="AC84" s="35" t="s">
        <v>574</v>
      </c>
      <c r="AE84" s="35" t="s">
        <v>74</v>
      </c>
      <c r="AF84" s="35" t="s">
        <v>105</v>
      </c>
      <c r="AG84" s="35">
        <v>3</v>
      </c>
      <c r="AH84" s="35">
        <v>5.7</v>
      </c>
      <c r="AI84" s="35">
        <v>9</v>
      </c>
      <c r="AJ84" s="35">
        <v>46.6</v>
      </c>
      <c r="AK84" s="35">
        <v>330</v>
      </c>
      <c r="AL84" s="35">
        <v>650</v>
      </c>
      <c r="AM84" s="35">
        <v>1948</v>
      </c>
      <c r="AN84" s="35" t="s">
        <v>411</v>
      </c>
      <c r="AO84" s="35">
        <v>173</v>
      </c>
      <c r="AQ84" s="35">
        <v>7.0000000000000007E-2</v>
      </c>
      <c r="AR84" s="35">
        <v>1.22</v>
      </c>
      <c r="AS84" s="35">
        <v>0.03</v>
      </c>
      <c r="AT84" s="35">
        <v>0.31</v>
      </c>
      <c r="AU84" s="35">
        <v>0.3</v>
      </c>
      <c r="AV84" s="35">
        <v>32.9</v>
      </c>
      <c r="AW84" s="35">
        <v>547.4</v>
      </c>
      <c r="AX84" s="35">
        <v>12.4</v>
      </c>
      <c r="AY84" s="35">
        <v>56</v>
      </c>
      <c r="AZ84" s="35" t="s">
        <v>411</v>
      </c>
    </row>
    <row r="85" spans="1:52" x14ac:dyDescent="0.25">
      <c r="A85" s="36" t="s">
        <v>573</v>
      </c>
      <c r="B85" s="36" t="s">
        <v>572</v>
      </c>
      <c r="C85" s="35">
        <v>92</v>
      </c>
      <c r="D85" s="35">
        <v>45</v>
      </c>
      <c r="E85" s="35">
        <v>5</v>
      </c>
      <c r="F85" s="35">
        <v>12</v>
      </c>
      <c r="G85" s="35">
        <v>0.15</v>
      </c>
      <c r="H85" s="35">
        <v>0.55000000000000004</v>
      </c>
      <c r="I85" s="35">
        <v>0.18</v>
      </c>
      <c r="J85" s="35">
        <v>5.8</v>
      </c>
      <c r="L85" s="35">
        <v>37.9</v>
      </c>
      <c r="M85" s="35">
        <v>76</v>
      </c>
      <c r="N85" s="35" t="s">
        <v>411</v>
      </c>
      <c r="O85" s="35" t="s">
        <v>411</v>
      </c>
      <c r="P85" s="35">
        <v>1220</v>
      </c>
      <c r="Q85" s="35">
        <v>2680</v>
      </c>
      <c r="S85" s="35">
        <v>0.41</v>
      </c>
      <c r="T85" s="35">
        <v>0.68</v>
      </c>
      <c r="U85" s="35">
        <v>1.55</v>
      </c>
      <c r="V85" s="35">
        <v>0.46</v>
      </c>
      <c r="W85" s="35">
        <v>1.4</v>
      </c>
      <c r="X85" s="35">
        <v>1.8</v>
      </c>
      <c r="Y85" s="35">
        <v>1.1000000000000001</v>
      </c>
      <c r="Z85" s="35">
        <v>2.6</v>
      </c>
      <c r="AA85" s="35">
        <v>3.6</v>
      </c>
      <c r="AB85" s="35">
        <v>4.7</v>
      </c>
      <c r="AC85" s="35">
        <v>2.6</v>
      </c>
      <c r="AE85" s="35" t="s">
        <v>74</v>
      </c>
      <c r="AF85" s="35">
        <v>0.3</v>
      </c>
      <c r="AG85" s="35">
        <v>2.9</v>
      </c>
      <c r="AH85" s="35">
        <v>7.3</v>
      </c>
      <c r="AI85" s="35">
        <v>5.6</v>
      </c>
      <c r="AJ85" s="35">
        <v>52</v>
      </c>
      <c r="AK85" s="35">
        <v>390</v>
      </c>
      <c r="AL85" s="35" t="s">
        <v>411</v>
      </c>
      <c r="AM85" s="35">
        <v>1540</v>
      </c>
      <c r="AN85" s="35" t="s">
        <v>408</v>
      </c>
      <c r="AO85" s="35">
        <v>170</v>
      </c>
      <c r="AQ85" s="35" t="s">
        <v>105</v>
      </c>
      <c r="AR85" s="35">
        <v>1.1499999999999999</v>
      </c>
      <c r="AS85" s="35">
        <v>0.03</v>
      </c>
      <c r="AT85" s="35">
        <v>0.33</v>
      </c>
      <c r="AU85" s="35">
        <v>0.28000000000000003</v>
      </c>
      <c r="AV85" s="35">
        <v>25.5</v>
      </c>
      <c r="AW85" s="35" t="s">
        <v>411</v>
      </c>
      <c r="AX85" s="35" t="s">
        <v>411</v>
      </c>
      <c r="AY85" s="35" t="s">
        <v>411</v>
      </c>
      <c r="AZ85" s="35" t="s">
        <v>411</v>
      </c>
    </row>
    <row r="86" spans="1:52" x14ac:dyDescent="0.25">
      <c r="A86" s="36" t="s">
        <v>571</v>
      </c>
      <c r="B86" s="36" t="s">
        <v>570</v>
      </c>
      <c r="C86" s="35">
        <v>94</v>
      </c>
      <c r="D86" s="35">
        <v>57</v>
      </c>
      <c r="E86" s="35">
        <v>14</v>
      </c>
      <c r="F86" s="35">
        <v>2.5</v>
      </c>
      <c r="G86" s="35">
        <v>5</v>
      </c>
      <c r="H86" s="35">
        <v>2.7</v>
      </c>
      <c r="I86" s="35">
        <v>2.7</v>
      </c>
      <c r="J86" s="35">
        <v>17</v>
      </c>
      <c r="L86" s="35">
        <v>45.9</v>
      </c>
      <c r="M86" s="35">
        <v>74</v>
      </c>
      <c r="N86" s="35">
        <v>1406</v>
      </c>
      <c r="O86" s="35">
        <v>3100</v>
      </c>
      <c r="P86" s="35">
        <v>1380</v>
      </c>
      <c r="Q86" s="35">
        <v>3040</v>
      </c>
      <c r="S86" s="35" t="s">
        <v>569</v>
      </c>
      <c r="T86" s="35" t="s">
        <v>568</v>
      </c>
      <c r="U86" s="35" t="s">
        <v>567</v>
      </c>
      <c r="V86" s="35">
        <v>0.5</v>
      </c>
      <c r="W86" s="35" t="s">
        <v>566</v>
      </c>
      <c r="X86" s="35" t="s">
        <v>565</v>
      </c>
      <c r="Y86" s="35" t="s">
        <v>564</v>
      </c>
      <c r="Z86" s="35" t="s">
        <v>563</v>
      </c>
      <c r="AA86" s="35" t="s">
        <v>562</v>
      </c>
      <c r="AB86" s="35" t="s">
        <v>561</v>
      </c>
      <c r="AC86" s="35" t="s">
        <v>560</v>
      </c>
      <c r="AE86" s="35" t="s">
        <v>74</v>
      </c>
      <c r="AF86" s="35" t="s">
        <v>74</v>
      </c>
      <c r="AG86" s="35">
        <v>2.2000000000000002</v>
      </c>
      <c r="AH86" s="35" t="s">
        <v>411</v>
      </c>
      <c r="AI86" s="35">
        <v>10</v>
      </c>
      <c r="AJ86" s="35">
        <v>8.8000000000000007</v>
      </c>
      <c r="AK86" s="35" t="s">
        <v>411</v>
      </c>
      <c r="AL86" s="35" t="s">
        <v>411</v>
      </c>
      <c r="AM86" s="35">
        <v>5980</v>
      </c>
      <c r="AN86" s="35">
        <v>310</v>
      </c>
      <c r="AO86" s="35">
        <v>39.6</v>
      </c>
      <c r="AQ86" s="35">
        <v>0.3</v>
      </c>
      <c r="AR86" s="35">
        <v>0.6</v>
      </c>
      <c r="AS86" s="35">
        <v>0.55000000000000004</v>
      </c>
      <c r="AT86" s="35">
        <v>0.2</v>
      </c>
      <c r="AU86" s="35">
        <v>0.5</v>
      </c>
      <c r="AV86" s="35">
        <v>11</v>
      </c>
      <c r="AW86" s="35">
        <v>500</v>
      </c>
      <c r="AX86" s="35">
        <v>14</v>
      </c>
      <c r="AY86" s="35">
        <v>120</v>
      </c>
      <c r="AZ86" s="35">
        <v>0.8</v>
      </c>
    </row>
    <row r="87" spans="1:52" x14ac:dyDescent="0.25">
      <c r="A87" s="36" t="s">
        <v>559</v>
      </c>
      <c r="B87" s="36" t="s">
        <v>558</v>
      </c>
      <c r="C87" s="35">
        <v>89</v>
      </c>
      <c r="D87" s="35">
        <v>28.7</v>
      </c>
      <c r="E87" s="35">
        <v>1.7</v>
      </c>
      <c r="F87" s="35">
        <v>14.9</v>
      </c>
      <c r="G87" s="35">
        <v>7.8</v>
      </c>
      <c r="H87" s="35">
        <v>2.2000000000000002</v>
      </c>
      <c r="I87" s="35" t="s">
        <v>408</v>
      </c>
      <c r="J87" s="35">
        <v>26.5</v>
      </c>
      <c r="L87" s="35" t="s">
        <v>105</v>
      </c>
      <c r="M87" s="35" t="s">
        <v>105</v>
      </c>
      <c r="N87" s="35" t="s">
        <v>411</v>
      </c>
      <c r="O87" s="35" t="s">
        <v>411</v>
      </c>
      <c r="P87" s="35" t="s">
        <v>411</v>
      </c>
      <c r="Q87" s="35" t="s">
        <v>411</v>
      </c>
      <c r="S87" s="35">
        <v>0.12</v>
      </c>
      <c r="T87" s="35">
        <v>0.15</v>
      </c>
      <c r="U87" s="35">
        <v>0.39</v>
      </c>
      <c r="V87" s="35">
        <v>0.53</v>
      </c>
      <c r="W87" s="35">
        <v>0.35</v>
      </c>
      <c r="X87" s="35">
        <v>0.36</v>
      </c>
      <c r="Y87" s="35">
        <v>0.23</v>
      </c>
      <c r="Z87" s="35">
        <v>0.46</v>
      </c>
      <c r="AA87" s="35">
        <v>0.8</v>
      </c>
      <c r="AB87" s="35">
        <v>0.38</v>
      </c>
      <c r="AC87" s="35">
        <v>0.35</v>
      </c>
      <c r="AE87" s="35" t="s">
        <v>74</v>
      </c>
      <c r="AF87" s="35" t="s">
        <v>74</v>
      </c>
      <c r="AG87" s="35" t="s">
        <v>408</v>
      </c>
      <c r="AH87" s="35" t="s">
        <v>408</v>
      </c>
      <c r="AI87" s="35" t="s">
        <v>408</v>
      </c>
      <c r="AJ87" s="35" t="s">
        <v>408</v>
      </c>
      <c r="AK87" s="35" t="s">
        <v>408</v>
      </c>
      <c r="AL87" s="35" t="s">
        <v>408</v>
      </c>
      <c r="AM87" s="35" t="s">
        <v>408</v>
      </c>
      <c r="AN87" s="35" t="s">
        <v>408</v>
      </c>
      <c r="AO87" s="35" t="s">
        <v>408</v>
      </c>
      <c r="AQ87" s="35">
        <v>0.1</v>
      </c>
      <c r="AR87" s="35">
        <v>1.37</v>
      </c>
      <c r="AS87" s="35" t="s">
        <v>411</v>
      </c>
      <c r="AT87" s="35">
        <v>0.63</v>
      </c>
      <c r="AU87" s="35" t="s">
        <v>411</v>
      </c>
      <c r="AV87" s="35">
        <v>291</v>
      </c>
      <c r="AW87" s="35">
        <v>200</v>
      </c>
      <c r="AX87" s="35">
        <v>61</v>
      </c>
      <c r="AY87" s="35">
        <v>325</v>
      </c>
      <c r="AZ87" s="35" t="s">
        <v>408</v>
      </c>
    </row>
    <row r="88" spans="1:52" x14ac:dyDescent="0.25">
      <c r="A88" s="36" t="s">
        <v>557</v>
      </c>
      <c r="B88" s="36" t="s">
        <v>556</v>
      </c>
      <c r="C88" s="35">
        <v>85</v>
      </c>
      <c r="D88" s="35">
        <v>25.3</v>
      </c>
      <c r="E88" s="35">
        <v>2.2999999999999998</v>
      </c>
      <c r="F88" s="35">
        <v>18.600000000000001</v>
      </c>
      <c r="G88" s="35">
        <v>2.5</v>
      </c>
      <c r="H88" s="35">
        <v>1.6</v>
      </c>
      <c r="I88" s="35" t="s">
        <v>408</v>
      </c>
      <c r="J88" s="35">
        <v>14.1</v>
      </c>
      <c r="L88" s="35" t="s">
        <v>105</v>
      </c>
      <c r="M88" s="35" t="s">
        <v>105</v>
      </c>
      <c r="N88" s="35" t="s">
        <v>411</v>
      </c>
      <c r="O88" s="35" t="s">
        <v>411</v>
      </c>
      <c r="P88" s="35" t="s">
        <v>411</v>
      </c>
      <c r="Q88" s="35" t="s">
        <v>411</v>
      </c>
      <c r="S88" s="35">
        <v>0.13</v>
      </c>
      <c r="T88" s="35">
        <v>0.14000000000000001</v>
      </c>
      <c r="U88" s="35">
        <v>0.49</v>
      </c>
      <c r="V88" s="35" t="s">
        <v>411</v>
      </c>
      <c r="W88" s="35">
        <v>0.52</v>
      </c>
      <c r="X88" s="35">
        <v>0.57999999999999996</v>
      </c>
      <c r="Y88" s="35">
        <v>0.2</v>
      </c>
      <c r="Z88" s="35">
        <v>0.74</v>
      </c>
      <c r="AA88" s="35">
        <v>0.7</v>
      </c>
      <c r="AB88" s="35">
        <v>0.43</v>
      </c>
      <c r="AC88" s="35">
        <v>0.49</v>
      </c>
      <c r="AE88" s="35" t="s">
        <v>74</v>
      </c>
      <c r="AF88" s="35" t="s">
        <v>74</v>
      </c>
      <c r="AG88" s="35" t="s">
        <v>408</v>
      </c>
      <c r="AH88" s="35" t="s">
        <v>408</v>
      </c>
      <c r="AI88" s="35" t="s">
        <v>408</v>
      </c>
      <c r="AJ88" s="35" t="s">
        <v>408</v>
      </c>
      <c r="AK88" s="35" t="s">
        <v>408</v>
      </c>
      <c r="AL88" s="35" t="s">
        <v>408</v>
      </c>
      <c r="AM88" s="35" t="s">
        <v>408</v>
      </c>
      <c r="AN88" s="35" t="s">
        <v>408</v>
      </c>
      <c r="AO88" s="35" t="s">
        <v>408</v>
      </c>
      <c r="AQ88" s="35">
        <v>0.42</v>
      </c>
      <c r="AR88" s="35">
        <v>1.77</v>
      </c>
      <c r="AS88" s="35" t="s">
        <v>411</v>
      </c>
      <c r="AT88" s="35">
        <v>0.35</v>
      </c>
      <c r="AU88" s="35" t="s">
        <v>411</v>
      </c>
      <c r="AV88" s="35" t="s">
        <v>408</v>
      </c>
      <c r="AW88" s="35" t="s">
        <v>408</v>
      </c>
      <c r="AX88" s="35">
        <v>23</v>
      </c>
      <c r="AY88" s="35">
        <v>343</v>
      </c>
      <c r="AZ88" s="35" t="s">
        <v>408</v>
      </c>
    </row>
    <row r="89" spans="1:52" x14ac:dyDescent="0.25">
      <c r="A89" s="36" t="s">
        <v>555</v>
      </c>
      <c r="B89" s="36" t="s">
        <v>554</v>
      </c>
      <c r="C89" s="35">
        <v>92</v>
      </c>
      <c r="D89" s="35">
        <v>36</v>
      </c>
      <c r="E89" s="35">
        <v>2.6</v>
      </c>
      <c r="F89" s="35">
        <v>13.2</v>
      </c>
      <c r="G89" s="35">
        <v>0.66</v>
      </c>
      <c r="H89" s="35">
        <v>0.93</v>
      </c>
      <c r="I89" s="35">
        <v>0.3</v>
      </c>
      <c r="J89" s="35">
        <v>7.2</v>
      </c>
      <c r="L89" s="35">
        <v>32</v>
      </c>
      <c r="M89" s="35">
        <v>64</v>
      </c>
      <c r="N89" s="35">
        <v>805</v>
      </c>
      <c r="O89" s="35">
        <v>1770</v>
      </c>
      <c r="P89" s="35">
        <v>1215</v>
      </c>
      <c r="Q89" s="35">
        <v>2670</v>
      </c>
      <c r="S89" s="35">
        <v>0.67</v>
      </c>
      <c r="T89" s="35">
        <v>0.54</v>
      </c>
      <c r="U89" s="35">
        <v>2.12</v>
      </c>
      <c r="V89" s="35">
        <v>0.46</v>
      </c>
      <c r="W89" s="35">
        <v>1.6</v>
      </c>
      <c r="X89" s="35">
        <v>1.41</v>
      </c>
      <c r="Y89" s="35">
        <v>0.95</v>
      </c>
      <c r="Z89" s="35">
        <v>1.81</v>
      </c>
      <c r="AA89" s="35">
        <v>2.6</v>
      </c>
      <c r="AB89" s="35">
        <v>2.04</v>
      </c>
      <c r="AC89" s="35">
        <v>1.41</v>
      </c>
      <c r="AE89" s="35" t="s">
        <v>74</v>
      </c>
      <c r="AF89" s="35" t="s">
        <v>74</v>
      </c>
      <c r="AG89" s="35" t="s">
        <v>408</v>
      </c>
      <c r="AH89" s="35">
        <v>1.8</v>
      </c>
      <c r="AI89" s="35">
        <v>3.7</v>
      </c>
      <c r="AJ89" s="35">
        <v>9.1999999999999993</v>
      </c>
      <c r="AK89" s="35" t="s">
        <v>408</v>
      </c>
      <c r="AL89" s="35" t="s">
        <v>408</v>
      </c>
      <c r="AM89" s="35">
        <v>6700</v>
      </c>
      <c r="AN89" s="35" t="s">
        <v>408</v>
      </c>
      <c r="AO89" s="35">
        <v>159.5</v>
      </c>
      <c r="AQ89" s="35">
        <v>0.09</v>
      </c>
      <c r="AR89" s="35" t="s">
        <v>74</v>
      </c>
      <c r="AS89" s="35" t="s">
        <v>411</v>
      </c>
      <c r="AT89" s="35">
        <v>0.51</v>
      </c>
      <c r="AU89" s="35" t="s">
        <v>411</v>
      </c>
      <c r="AV89" s="35">
        <v>43</v>
      </c>
      <c r="AW89" s="35">
        <v>180</v>
      </c>
      <c r="AX89" s="35">
        <v>6.6</v>
      </c>
      <c r="AY89" s="35">
        <v>65.5</v>
      </c>
      <c r="AZ89" s="35">
        <v>0.98</v>
      </c>
    </row>
    <row r="90" spans="1:52" x14ac:dyDescent="0.25">
      <c r="A90" s="36" t="s">
        <v>553</v>
      </c>
      <c r="B90" s="36" t="s">
        <v>552</v>
      </c>
      <c r="C90" s="35">
        <v>91</v>
      </c>
      <c r="D90" s="35">
        <v>13.5</v>
      </c>
      <c r="E90" s="35">
        <v>5.9</v>
      </c>
      <c r="F90" s="35">
        <v>13</v>
      </c>
      <c r="G90" s="35">
        <v>0.1</v>
      </c>
      <c r="H90" s="35">
        <v>1.7</v>
      </c>
      <c r="I90" s="35">
        <v>0.24</v>
      </c>
      <c r="J90" s="35">
        <v>11</v>
      </c>
      <c r="L90" s="35">
        <v>9.9</v>
      </c>
      <c r="M90" s="35">
        <v>60</v>
      </c>
      <c r="N90" s="35">
        <v>925</v>
      </c>
      <c r="O90" s="35">
        <v>2040</v>
      </c>
      <c r="P90" s="35">
        <v>1000</v>
      </c>
      <c r="Q90" s="35">
        <v>2200</v>
      </c>
      <c r="S90" s="35" t="s">
        <v>551</v>
      </c>
      <c r="T90" s="35" t="s">
        <v>550</v>
      </c>
      <c r="U90" s="35" t="s">
        <v>549</v>
      </c>
      <c r="V90" s="35">
        <v>0.1</v>
      </c>
      <c r="W90" s="35" t="s">
        <v>548</v>
      </c>
      <c r="X90" s="35" t="s">
        <v>547</v>
      </c>
      <c r="Y90" s="35" t="s">
        <v>546</v>
      </c>
      <c r="Z90" s="35" t="s">
        <v>545</v>
      </c>
      <c r="AA90" s="35" t="s">
        <v>544</v>
      </c>
      <c r="AB90" s="35" t="s">
        <v>543</v>
      </c>
      <c r="AC90" s="35" t="s">
        <v>542</v>
      </c>
      <c r="AE90" s="35" t="s">
        <v>74</v>
      </c>
      <c r="AF90" s="35" t="s">
        <v>74</v>
      </c>
      <c r="AG90" s="35">
        <v>60.8</v>
      </c>
      <c r="AH90" s="35">
        <v>22.8</v>
      </c>
      <c r="AI90" s="35">
        <v>3</v>
      </c>
      <c r="AJ90" s="35">
        <v>22</v>
      </c>
      <c r="AK90" s="35">
        <v>4200</v>
      </c>
      <c r="AL90" s="35" t="s">
        <v>411</v>
      </c>
      <c r="AM90" s="35">
        <v>1390</v>
      </c>
      <c r="AN90" s="35" t="s">
        <v>408</v>
      </c>
      <c r="AO90" s="35">
        <v>303</v>
      </c>
      <c r="AQ90" s="35">
        <v>0.1</v>
      </c>
      <c r="AR90" s="35">
        <v>1.35</v>
      </c>
      <c r="AS90" s="35">
        <v>7.0000000000000007E-2</v>
      </c>
      <c r="AT90" s="35">
        <v>1</v>
      </c>
      <c r="AU90" s="35">
        <v>0.18</v>
      </c>
      <c r="AV90" s="35">
        <v>200</v>
      </c>
      <c r="AW90" s="35">
        <v>190</v>
      </c>
      <c r="AX90" s="35">
        <v>13</v>
      </c>
      <c r="AY90" s="35">
        <v>30</v>
      </c>
      <c r="AZ90" s="35">
        <v>0.4</v>
      </c>
    </row>
    <row r="91" spans="1:52" x14ac:dyDescent="0.25">
      <c r="A91" s="36" t="s">
        <v>541</v>
      </c>
      <c r="B91" s="36" t="s">
        <v>540</v>
      </c>
      <c r="C91" s="35">
        <v>92</v>
      </c>
      <c r="D91" s="35">
        <v>3</v>
      </c>
      <c r="E91" s="35">
        <v>0.5</v>
      </c>
      <c r="F91" s="35">
        <v>44</v>
      </c>
      <c r="G91" s="35">
        <v>0.04</v>
      </c>
      <c r="H91" s="35">
        <v>0.1</v>
      </c>
      <c r="I91" s="35">
        <v>0.02</v>
      </c>
      <c r="J91" s="35">
        <v>20</v>
      </c>
      <c r="L91" s="35" t="s">
        <v>105</v>
      </c>
      <c r="M91" s="35" t="s">
        <v>105</v>
      </c>
      <c r="N91" s="35">
        <v>325</v>
      </c>
      <c r="O91" s="35">
        <v>720</v>
      </c>
      <c r="P91" s="35" t="s">
        <v>411</v>
      </c>
      <c r="Q91" s="35" t="s">
        <v>411</v>
      </c>
      <c r="S91" s="35" t="s">
        <v>408</v>
      </c>
      <c r="T91" s="35" t="s">
        <v>408</v>
      </c>
      <c r="U91" s="35" t="s">
        <v>408</v>
      </c>
      <c r="V91" s="35" t="s">
        <v>408</v>
      </c>
      <c r="W91" s="35" t="s">
        <v>408</v>
      </c>
      <c r="X91" s="35" t="s">
        <v>408</v>
      </c>
      <c r="Y91" s="35" t="s">
        <v>408</v>
      </c>
      <c r="Z91" s="35" t="s">
        <v>408</v>
      </c>
      <c r="AA91" s="35" t="s">
        <v>408</v>
      </c>
      <c r="AB91" s="35" t="s">
        <v>408</v>
      </c>
      <c r="AC91" s="35" t="s">
        <v>408</v>
      </c>
      <c r="AE91" s="35" t="s">
        <v>74</v>
      </c>
      <c r="AF91" s="35" t="s">
        <v>74</v>
      </c>
      <c r="AG91" s="35" t="s">
        <v>411</v>
      </c>
      <c r="AH91" s="35" t="s">
        <v>411</v>
      </c>
      <c r="AI91" s="35" t="s">
        <v>411</v>
      </c>
      <c r="AJ91" s="35" t="s">
        <v>411</v>
      </c>
      <c r="AK91" s="35" t="s">
        <v>411</v>
      </c>
      <c r="AL91" s="35" t="s">
        <v>411</v>
      </c>
      <c r="AM91" s="35" t="s">
        <v>411</v>
      </c>
      <c r="AN91" s="35" t="s">
        <v>408</v>
      </c>
      <c r="AO91" s="35" t="s">
        <v>411</v>
      </c>
      <c r="AQ91" s="35">
        <v>0.08</v>
      </c>
      <c r="AR91" s="35">
        <v>0.4</v>
      </c>
      <c r="AS91" s="35">
        <v>7.0000000000000007E-2</v>
      </c>
      <c r="AT91" s="35" t="s">
        <v>411</v>
      </c>
      <c r="AU91" s="35">
        <v>0.08</v>
      </c>
      <c r="AV91" s="35" t="s">
        <v>411</v>
      </c>
      <c r="AW91" s="35" t="s">
        <v>411</v>
      </c>
      <c r="AX91" s="35" t="s">
        <v>411</v>
      </c>
      <c r="AY91" s="35" t="s">
        <v>411</v>
      </c>
      <c r="AZ91" s="35" t="s">
        <v>411</v>
      </c>
    </row>
    <row r="92" spans="1:52" x14ac:dyDescent="0.25">
      <c r="A92" s="36" t="s">
        <v>539</v>
      </c>
      <c r="B92" s="36" t="s">
        <v>538</v>
      </c>
      <c r="C92" s="35">
        <v>89</v>
      </c>
      <c r="D92" s="35">
        <v>7.3</v>
      </c>
      <c r="E92" s="35">
        <v>1.7</v>
      </c>
      <c r="F92" s="35">
        <v>10</v>
      </c>
      <c r="G92" s="35">
        <v>0.04</v>
      </c>
      <c r="H92" s="35">
        <v>0.26</v>
      </c>
      <c r="I92" s="35">
        <v>0.09</v>
      </c>
      <c r="J92" s="35">
        <v>4.5</v>
      </c>
      <c r="L92" s="35">
        <v>5.9</v>
      </c>
      <c r="M92" s="35">
        <v>71</v>
      </c>
      <c r="N92" s="35">
        <v>1335</v>
      </c>
      <c r="O92" s="35">
        <v>2940</v>
      </c>
      <c r="P92" s="35">
        <v>1075</v>
      </c>
      <c r="Q92" s="35">
        <v>2360</v>
      </c>
      <c r="S92" s="35">
        <v>0.14000000000000001</v>
      </c>
      <c r="T92" s="35">
        <v>0.08</v>
      </c>
      <c r="U92" s="35">
        <v>0.24</v>
      </c>
      <c r="V92" s="35">
        <v>0.12</v>
      </c>
      <c r="W92" s="35">
        <v>0.27</v>
      </c>
      <c r="X92" s="35">
        <v>0.33</v>
      </c>
      <c r="Y92" s="35">
        <v>0.16</v>
      </c>
      <c r="Z92" s="35">
        <v>0.46</v>
      </c>
      <c r="AA92" s="35">
        <v>0.5</v>
      </c>
      <c r="AB92" s="35">
        <v>0.59</v>
      </c>
      <c r="AC92" s="35">
        <v>0.34</v>
      </c>
      <c r="AE92" s="35" t="s">
        <v>74</v>
      </c>
      <c r="AF92" s="35" t="s">
        <v>74</v>
      </c>
      <c r="AG92" s="35">
        <v>13.5</v>
      </c>
      <c r="AH92" s="35">
        <v>2.8</v>
      </c>
      <c r="AI92" s="35">
        <v>1.1000000000000001</v>
      </c>
      <c r="AJ92" s="35">
        <v>11</v>
      </c>
      <c r="AK92" s="35">
        <v>80</v>
      </c>
      <c r="AL92" s="35">
        <v>400</v>
      </c>
      <c r="AM92" s="35">
        <v>1014</v>
      </c>
      <c r="AN92" s="35" t="s">
        <v>408</v>
      </c>
      <c r="AO92" s="35">
        <v>30.3</v>
      </c>
      <c r="AQ92" s="35">
        <v>0.04</v>
      </c>
      <c r="AR92" s="35">
        <v>0.34</v>
      </c>
      <c r="AS92" s="35">
        <v>0.06</v>
      </c>
      <c r="AT92" s="35">
        <v>0.14000000000000001</v>
      </c>
      <c r="AU92" s="35">
        <v>0.1</v>
      </c>
      <c r="AV92" s="35">
        <v>17.600000000000001</v>
      </c>
      <c r="AW92" s="35">
        <v>10</v>
      </c>
      <c r="AX92" s="35">
        <v>2</v>
      </c>
      <c r="AY92" s="35">
        <v>10</v>
      </c>
      <c r="AZ92" s="35" t="s">
        <v>411</v>
      </c>
    </row>
    <row r="93" spans="1:52" x14ac:dyDescent="0.25">
      <c r="A93" s="36" t="s">
        <v>537</v>
      </c>
      <c r="B93" s="36" t="s">
        <v>536</v>
      </c>
      <c r="C93" s="35">
        <v>89</v>
      </c>
      <c r="D93" s="35">
        <v>12.6</v>
      </c>
      <c r="E93" s="35">
        <v>1.9</v>
      </c>
      <c r="F93" s="35">
        <v>2.8</v>
      </c>
      <c r="G93" s="35">
        <v>0.08</v>
      </c>
      <c r="H93" s="35">
        <v>0.3</v>
      </c>
      <c r="I93" s="35">
        <v>0.1</v>
      </c>
      <c r="J93" s="35">
        <v>1.5</v>
      </c>
      <c r="L93" s="35">
        <v>9.5</v>
      </c>
      <c r="M93" s="35">
        <v>76</v>
      </c>
      <c r="N93" s="35">
        <v>1230</v>
      </c>
      <c r="O93" s="35">
        <v>2710</v>
      </c>
      <c r="P93" s="35">
        <v>1230</v>
      </c>
      <c r="Q93" s="35">
        <v>2710</v>
      </c>
      <c r="S93" s="35">
        <v>0.16</v>
      </c>
      <c r="T93" s="35">
        <v>0.2</v>
      </c>
      <c r="U93" s="35">
        <v>0.4</v>
      </c>
      <c r="V93" s="35">
        <v>0.14000000000000001</v>
      </c>
      <c r="W93" s="35">
        <v>0.36</v>
      </c>
      <c r="X93" s="35">
        <v>0.53</v>
      </c>
      <c r="Y93" s="35">
        <v>0.27</v>
      </c>
      <c r="Z93" s="35">
        <v>0.62</v>
      </c>
      <c r="AA93" s="35">
        <v>0.7</v>
      </c>
      <c r="AB93" s="35">
        <v>0.5</v>
      </c>
      <c r="AC93" s="35">
        <v>0.62</v>
      </c>
      <c r="AE93" s="35" t="s">
        <v>74</v>
      </c>
      <c r="AF93" s="35" t="s">
        <v>74</v>
      </c>
      <c r="AG93" s="35">
        <v>15</v>
      </c>
      <c r="AH93" s="35">
        <v>4.4000000000000004</v>
      </c>
      <c r="AI93" s="35">
        <v>1.5</v>
      </c>
      <c r="AJ93" s="35">
        <v>9.1999999999999993</v>
      </c>
      <c r="AK93" s="35">
        <v>60</v>
      </c>
      <c r="AL93" s="35">
        <v>600</v>
      </c>
      <c r="AM93" s="35" t="s">
        <v>411</v>
      </c>
      <c r="AN93" s="35" t="s">
        <v>408</v>
      </c>
      <c r="AO93" s="35">
        <v>15.6</v>
      </c>
      <c r="AQ93" s="35">
        <v>0.02</v>
      </c>
      <c r="AR93" s="35">
        <v>0.46</v>
      </c>
      <c r="AS93" s="35">
        <v>0.06</v>
      </c>
      <c r="AT93" s="35">
        <v>0.12</v>
      </c>
      <c r="AU93" s="35">
        <v>0.15</v>
      </c>
      <c r="AV93" s="35">
        <v>60</v>
      </c>
      <c r="AW93" s="35">
        <v>80</v>
      </c>
      <c r="AX93" s="35">
        <v>7.8</v>
      </c>
      <c r="AY93" s="35">
        <v>30.5</v>
      </c>
      <c r="AZ93" s="35">
        <v>0.4</v>
      </c>
    </row>
    <row r="94" spans="1:52" x14ac:dyDescent="0.25">
      <c r="A94" s="36" t="s">
        <v>535</v>
      </c>
      <c r="B94" s="36" t="s">
        <v>534</v>
      </c>
      <c r="C94" s="35">
        <v>91</v>
      </c>
      <c r="D94" s="35">
        <v>20</v>
      </c>
      <c r="E94" s="35">
        <v>6.6</v>
      </c>
      <c r="F94" s="35">
        <v>32.200000000000003</v>
      </c>
      <c r="G94" s="35">
        <v>0.23</v>
      </c>
      <c r="H94" s="35">
        <v>0.61</v>
      </c>
      <c r="I94" s="35">
        <v>0.2</v>
      </c>
      <c r="J94" s="35">
        <v>3.7</v>
      </c>
      <c r="L94" s="35">
        <v>14.5</v>
      </c>
      <c r="M94" s="35">
        <v>52</v>
      </c>
      <c r="N94" s="35">
        <v>525</v>
      </c>
      <c r="O94" s="35">
        <v>1160</v>
      </c>
      <c r="P94" s="35">
        <v>1200</v>
      </c>
      <c r="Q94" s="35">
        <v>2640</v>
      </c>
      <c r="S94" s="35">
        <v>0.4</v>
      </c>
      <c r="T94" s="35">
        <v>0.5</v>
      </c>
      <c r="U94" s="35">
        <v>0.7</v>
      </c>
      <c r="V94" s="35">
        <v>0.3</v>
      </c>
      <c r="W94" s="35">
        <v>0.47</v>
      </c>
      <c r="X94" s="35">
        <v>0.28000000000000003</v>
      </c>
      <c r="Y94" s="35">
        <v>0.48</v>
      </c>
      <c r="Z94" s="35">
        <v>1</v>
      </c>
      <c r="AA94" s="35">
        <v>1.1000000000000001</v>
      </c>
      <c r="AB94" s="35">
        <v>1.2</v>
      </c>
      <c r="AC94" s="35">
        <v>1</v>
      </c>
      <c r="AE94" s="35" t="s">
        <v>74</v>
      </c>
      <c r="AF94" s="35" t="s">
        <v>74</v>
      </c>
      <c r="AG94" s="35">
        <v>0.9</v>
      </c>
      <c r="AH94" s="35" t="s">
        <v>411</v>
      </c>
      <c r="AI94" s="35">
        <v>18</v>
      </c>
      <c r="AJ94" s="35">
        <v>4</v>
      </c>
      <c r="AK94" s="35">
        <v>1400</v>
      </c>
      <c r="AL94" s="35">
        <v>440</v>
      </c>
      <c r="AM94" s="35">
        <v>800</v>
      </c>
      <c r="AN94" s="35" t="s">
        <v>408</v>
      </c>
      <c r="AO94" s="35">
        <v>86</v>
      </c>
      <c r="AQ94" s="35">
        <v>0.05</v>
      </c>
      <c r="AR94" s="35">
        <v>0.72</v>
      </c>
      <c r="AS94" s="35">
        <v>0.16</v>
      </c>
      <c r="AT94" s="35">
        <v>0.33</v>
      </c>
      <c r="AU94" s="35">
        <v>0.1</v>
      </c>
      <c r="AV94" s="35">
        <v>17.8</v>
      </c>
      <c r="AW94" s="35">
        <v>500</v>
      </c>
      <c r="AX94" s="35">
        <v>9.6999999999999993</v>
      </c>
      <c r="AY94" s="35">
        <v>39.799999999999997</v>
      </c>
      <c r="AZ94" s="35" t="s">
        <v>411</v>
      </c>
    </row>
    <row r="95" spans="1:52" x14ac:dyDescent="0.25">
      <c r="A95" s="36" t="s">
        <v>533</v>
      </c>
      <c r="B95" s="36" t="s">
        <v>532</v>
      </c>
      <c r="C95" s="35">
        <v>90</v>
      </c>
      <c r="D95" s="35">
        <v>22</v>
      </c>
      <c r="E95" s="35">
        <v>0.5</v>
      </c>
      <c r="F95" s="35">
        <v>37</v>
      </c>
      <c r="G95" s="35">
        <v>0.34</v>
      </c>
      <c r="H95" s="35">
        <v>0.84</v>
      </c>
      <c r="I95" s="35">
        <v>0.23</v>
      </c>
      <c r="J95" s="35">
        <v>5</v>
      </c>
      <c r="L95" s="35">
        <v>17.399999999999999</v>
      </c>
      <c r="M95" s="35">
        <v>52</v>
      </c>
      <c r="N95" s="35">
        <v>680</v>
      </c>
      <c r="O95" s="35">
        <v>1520</v>
      </c>
      <c r="P95" s="35">
        <v>1105</v>
      </c>
      <c r="Q95" s="35">
        <v>2435</v>
      </c>
      <c r="S95" s="35">
        <v>0.33</v>
      </c>
      <c r="T95" s="35">
        <v>0.35</v>
      </c>
      <c r="U95" s="35">
        <v>0.7</v>
      </c>
      <c r="V95" s="35">
        <v>0.26</v>
      </c>
      <c r="W95" s="35">
        <v>0.5</v>
      </c>
      <c r="X95" s="35">
        <v>0.27</v>
      </c>
      <c r="Y95" s="35">
        <v>0.5</v>
      </c>
      <c r="Z95" s="35">
        <v>1</v>
      </c>
      <c r="AA95" s="35">
        <v>1.2</v>
      </c>
      <c r="AB95" s="35">
        <v>1.9</v>
      </c>
      <c r="AC95" s="35">
        <v>1</v>
      </c>
      <c r="AE95" s="35" t="s">
        <v>74</v>
      </c>
      <c r="AF95" s="35" t="s">
        <v>74</v>
      </c>
      <c r="AG95" s="35">
        <v>0.8</v>
      </c>
      <c r="AH95" s="35" t="s">
        <v>411</v>
      </c>
      <c r="AI95" s="35">
        <v>18</v>
      </c>
      <c r="AJ95" s="35">
        <v>4</v>
      </c>
      <c r="AK95" s="35">
        <v>1400</v>
      </c>
      <c r="AL95" s="35">
        <v>440</v>
      </c>
      <c r="AM95" s="35">
        <v>800</v>
      </c>
      <c r="AN95" s="35" t="s">
        <v>408</v>
      </c>
      <c r="AO95" s="35">
        <v>85.8</v>
      </c>
      <c r="AQ95" s="35">
        <v>0.05</v>
      </c>
      <c r="AR95" s="35">
        <v>0.72</v>
      </c>
      <c r="AS95" s="35">
        <v>0.16</v>
      </c>
      <c r="AT95" s="35">
        <v>0.33</v>
      </c>
      <c r="AU95" s="35">
        <v>0.1</v>
      </c>
      <c r="AV95" s="35">
        <v>17.8</v>
      </c>
      <c r="AW95" s="35">
        <v>500</v>
      </c>
      <c r="AX95" s="35">
        <v>9.6999999999999993</v>
      </c>
      <c r="AY95" s="35">
        <v>39.799999999999997</v>
      </c>
      <c r="AZ95" s="35" t="s">
        <v>411</v>
      </c>
    </row>
    <row r="96" spans="1:52" x14ac:dyDescent="0.25">
      <c r="A96" s="36" t="s">
        <v>533</v>
      </c>
      <c r="B96" s="36" t="s">
        <v>532</v>
      </c>
      <c r="C96" s="35">
        <v>91</v>
      </c>
      <c r="D96" s="35">
        <v>42</v>
      </c>
      <c r="E96" s="35">
        <v>1.3</v>
      </c>
      <c r="F96" s="35">
        <v>15.1</v>
      </c>
      <c r="G96" s="35">
        <v>0.4</v>
      </c>
      <c r="H96" s="35">
        <v>1.25</v>
      </c>
      <c r="I96" s="35">
        <v>0.37</v>
      </c>
      <c r="J96" s="35">
        <v>7.8</v>
      </c>
      <c r="L96" s="35">
        <v>36.5</v>
      </c>
      <c r="M96" s="35">
        <v>69</v>
      </c>
      <c r="N96" s="35">
        <v>925</v>
      </c>
      <c r="O96" s="35">
        <v>2040</v>
      </c>
      <c r="P96" s="35" t="s">
        <v>411</v>
      </c>
      <c r="Q96" s="35" t="s">
        <v>411</v>
      </c>
      <c r="S96" s="35">
        <v>0.69</v>
      </c>
      <c r="T96" s="35">
        <v>0.7</v>
      </c>
      <c r="U96" s="35">
        <v>1.3</v>
      </c>
      <c r="V96" s="35">
        <v>0.6</v>
      </c>
      <c r="W96" s="35">
        <v>1.35</v>
      </c>
      <c r="X96" s="35">
        <v>1.7</v>
      </c>
      <c r="Y96" s="35">
        <v>1</v>
      </c>
      <c r="Z96" s="35">
        <v>2.2999999999999998</v>
      </c>
      <c r="AA96" s="35">
        <v>2.5</v>
      </c>
      <c r="AB96" s="35">
        <v>3.7</v>
      </c>
      <c r="AC96" s="35">
        <v>1.85</v>
      </c>
      <c r="AE96" s="35" t="s">
        <v>74</v>
      </c>
      <c r="AF96" s="35" t="s">
        <v>74</v>
      </c>
      <c r="AG96" s="35">
        <v>0.7</v>
      </c>
      <c r="AH96" s="35">
        <v>4.5999999999999996</v>
      </c>
      <c r="AI96" s="35">
        <v>2.2999999999999998</v>
      </c>
      <c r="AJ96" s="35">
        <v>39</v>
      </c>
      <c r="AK96" s="35">
        <v>1700</v>
      </c>
      <c r="AL96" s="35">
        <v>1600</v>
      </c>
      <c r="AM96" s="35">
        <v>3260</v>
      </c>
      <c r="AN96" s="35" t="s">
        <v>408</v>
      </c>
      <c r="AO96" s="35">
        <v>22</v>
      </c>
      <c r="AQ96" s="35">
        <v>0.04</v>
      </c>
      <c r="AR96" s="35">
        <v>1.2</v>
      </c>
      <c r="AS96" s="35">
        <v>0.16</v>
      </c>
      <c r="AT96" s="35">
        <v>1.2</v>
      </c>
      <c r="AU96" s="35">
        <v>0.1</v>
      </c>
      <c r="AV96" s="35">
        <v>40</v>
      </c>
      <c r="AW96" s="35">
        <v>990</v>
      </c>
      <c r="AX96" s="35">
        <v>88</v>
      </c>
      <c r="AY96" s="35">
        <v>185</v>
      </c>
      <c r="AZ96" s="35" t="s">
        <v>411</v>
      </c>
    </row>
    <row r="97" spans="1:52" x14ac:dyDescent="0.25">
      <c r="A97" s="36" t="s">
        <v>531</v>
      </c>
      <c r="B97" s="36" t="s">
        <v>530</v>
      </c>
      <c r="C97" s="35">
        <v>94</v>
      </c>
      <c r="D97" s="35">
        <v>42</v>
      </c>
      <c r="E97" s="35">
        <v>7</v>
      </c>
      <c r="F97" s="35">
        <v>6.5</v>
      </c>
      <c r="G97" s="35">
        <v>2</v>
      </c>
      <c r="H97" s="35">
        <v>1.3</v>
      </c>
      <c r="I97" s="35">
        <v>0.24</v>
      </c>
      <c r="J97" s="35">
        <v>12</v>
      </c>
      <c r="L97" s="35">
        <v>38</v>
      </c>
      <c r="M97" s="35">
        <v>70</v>
      </c>
      <c r="N97" s="35">
        <v>1025</v>
      </c>
      <c r="O97" s="35">
        <v>2255</v>
      </c>
      <c r="P97" s="35">
        <v>1165</v>
      </c>
      <c r="Q97" s="35">
        <v>2560</v>
      </c>
      <c r="S97" s="35" t="s">
        <v>529</v>
      </c>
      <c r="T97" s="35" t="s">
        <v>528</v>
      </c>
      <c r="U97" s="35" t="s">
        <v>527</v>
      </c>
      <c r="V97" s="35">
        <v>0.82</v>
      </c>
      <c r="W97" s="35" t="s">
        <v>526</v>
      </c>
      <c r="X97" s="35" t="s">
        <v>525</v>
      </c>
      <c r="Y97" s="35" t="s">
        <v>524</v>
      </c>
      <c r="Z97" s="35" t="s">
        <v>523</v>
      </c>
      <c r="AA97" s="35" t="s">
        <v>522</v>
      </c>
      <c r="AB97" s="35" t="s">
        <v>521</v>
      </c>
      <c r="AC97" s="35">
        <v>2.3199999999999998</v>
      </c>
      <c r="AE97" s="35" t="s">
        <v>74</v>
      </c>
      <c r="AF97" s="35" t="s">
        <v>74</v>
      </c>
      <c r="AG97" s="35" t="s">
        <v>408</v>
      </c>
      <c r="AH97" s="35">
        <v>2.8</v>
      </c>
      <c r="AI97" s="35">
        <v>3.3</v>
      </c>
      <c r="AJ97" s="35">
        <v>5.9</v>
      </c>
      <c r="AK97" s="35" t="s">
        <v>408</v>
      </c>
      <c r="AL97" s="35" t="s">
        <v>408</v>
      </c>
      <c r="AM97" s="35">
        <v>1690</v>
      </c>
      <c r="AN97" s="35" t="s">
        <v>408</v>
      </c>
      <c r="AO97" s="35">
        <v>29.9</v>
      </c>
      <c r="AQ97" s="35">
        <v>0.04</v>
      </c>
      <c r="AR97" s="35">
        <v>1.39</v>
      </c>
      <c r="AS97" s="35">
        <v>0.06</v>
      </c>
      <c r="AT97" s="35">
        <v>0.8</v>
      </c>
      <c r="AU97" s="35">
        <v>0.4</v>
      </c>
      <c r="AV97" s="35">
        <v>48</v>
      </c>
      <c r="AW97" s="35">
        <v>95</v>
      </c>
      <c r="AX97" s="35" t="s">
        <v>411</v>
      </c>
      <c r="AY97" s="35">
        <v>100</v>
      </c>
      <c r="AZ97" s="35" t="s">
        <v>411</v>
      </c>
    </row>
    <row r="98" spans="1:52" x14ac:dyDescent="0.25">
      <c r="A98" s="36" t="s">
        <v>520</v>
      </c>
      <c r="B98" s="36" t="s">
        <v>519</v>
      </c>
      <c r="C98" s="35">
        <v>92</v>
      </c>
      <c r="D98" s="35">
        <v>33</v>
      </c>
      <c r="E98" s="35">
        <v>0.5</v>
      </c>
      <c r="F98" s="35">
        <v>0</v>
      </c>
      <c r="G98" s="35">
        <v>1.25</v>
      </c>
      <c r="H98" s="35">
        <v>1</v>
      </c>
      <c r="I98" s="35">
        <v>1</v>
      </c>
      <c r="J98" s="35">
        <v>8</v>
      </c>
      <c r="L98" s="35">
        <v>26.8</v>
      </c>
      <c r="M98" s="35">
        <v>80</v>
      </c>
      <c r="N98" s="35">
        <v>1135</v>
      </c>
      <c r="O98" s="35">
        <v>2520</v>
      </c>
      <c r="P98" s="35">
        <v>1525</v>
      </c>
      <c r="Q98" s="35">
        <v>3360</v>
      </c>
      <c r="S98" s="35">
        <v>0.98</v>
      </c>
      <c r="T98" s="35">
        <v>0.42</v>
      </c>
      <c r="U98" s="35">
        <v>2.6</v>
      </c>
      <c r="V98" s="35">
        <v>0.45</v>
      </c>
      <c r="W98" s="35">
        <v>1.75</v>
      </c>
      <c r="X98" s="35">
        <v>2.1</v>
      </c>
      <c r="Y98" s="35">
        <v>0.84</v>
      </c>
      <c r="Z98" s="35">
        <v>2.38</v>
      </c>
      <c r="AA98" s="35">
        <v>3.3</v>
      </c>
      <c r="AB98" s="35">
        <v>1.1000000000000001</v>
      </c>
      <c r="AC98" s="35">
        <v>1.58</v>
      </c>
      <c r="AE98" s="35" t="s">
        <v>74</v>
      </c>
      <c r="AF98" s="35" t="s">
        <v>74</v>
      </c>
      <c r="AG98" s="35" t="s">
        <v>408</v>
      </c>
      <c r="AH98" s="35">
        <v>3.3</v>
      </c>
      <c r="AI98" s="35">
        <v>22</v>
      </c>
      <c r="AJ98" s="35">
        <v>35.200000000000003</v>
      </c>
      <c r="AK98" s="35">
        <v>330</v>
      </c>
      <c r="AL98" s="35">
        <v>620</v>
      </c>
      <c r="AM98" s="35">
        <v>1250</v>
      </c>
      <c r="AN98" s="35">
        <v>10</v>
      </c>
      <c r="AO98" s="35">
        <v>12.5</v>
      </c>
      <c r="AQ98" s="35">
        <v>0.52</v>
      </c>
      <c r="AR98" s="35">
        <v>1.67</v>
      </c>
      <c r="AS98" s="35">
        <v>0.9</v>
      </c>
      <c r="AT98" s="35">
        <v>0.11</v>
      </c>
      <c r="AU98" s="35">
        <v>0.32</v>
      </c>
      <c r="AV98" s="35">
        <v>2.2000000000000002</v>
      </c>
      <c r="AW98" s="35">
        <v>50</v>
      </c>
      <c r="AX98" s="35">
        <v>11.5</v>
      </c>
      <c r="AY98" s="35" t="s">
        <v>411</v>
      </c>
      <c r="AZ98" s="35">
        <v>0.12</v>
      </c>
    </row>
    <row r="99" spans="1:52" x14ac:dyDescent="0.25">
      <c r="A99" s="36" t="s">
        <v>518</v>
      </c>
      <c r="B99" s="36" t="s">
        <v>517</v>
      </c>
      <c r="C99" s="35">
        <v>88</v>
      </c>
      <c r="D99" s="35">
        <v>24</v>
      </c>
      <c r="E99" s="35">
        <v>3.2</v>
      </c>
      <c r="F99" s="35">
        <v>9</v>
      </c>
      <c r="G99" s="35">
        <v>0.15</v>
      </c>
      <c r="H99" s="35">
        <v>0.65</v>
      </c>
      <c r="I99" s="35">
        <v>0.21</v>
      </c>
      <c r="J99" s="35">
        <v>8</v>
      </c>
      <c r="L99" s="35">
        <v>18.899999999999999</v>
      </c>
      <c r="M99" s="35">
        <v>74</v>
      </c>
      <c r="N99" s="35">
        <v>975</v>
      </c>
      <c r="O99" s="35">
        <v>2150</v>
      </c>
      <c r="P99" s="35">
        <v>1200</v>
      </c>
      <c r="Q99" s="35">
        <v>2640</v>
      </c>
      <c r="S99" s="35">
        <v>0.4</v>
      </c>
      <c r="T99" s="35">
        <v>0.45</v>
      </c>
      <c r="U99" s="35">
        <v>0.9</v>
      </c>
      <c r="V99" s="35">
        <v>0.2</v>
      </c>
      <c r="W99" s="35">
        <v>0.8</v>
      </c>
      <c r="X99" s="35">
        <v>1</v>
      </c>
      <c r="Y99" s="35">
        <v>0.8</v>
      </c>
      <c r="Z99" s="35">
        <v>1.3</v>
      </c>
      <c r="AA99" s="35">
        <v>2.5</v>
      </c>
      <c r="AB99" s="35">
        <v>0.8</v>
      </c>
      <c r="AC99" s="35">
        <v>1</v>
      </c>
      <c r="AE99" s="35" t="s">
        <v>74</v>
      </c>
      <c r="AF99" s="35" t="s">
        <v>74</v>
      </c>
      <c r="AG99" s="35" t="s">
        <v>408</v>
      </c>
      <c r="AH99" s="35" t="s">
        <v>411</v>
      </c>
      <c r="AI99" s="35">
        <v>2.9</v>
      </c>
      <c r="AJ99" s="35">
        <v>17.600000000000001</v>
      </c>
      <c r="AK99" s="35" t="s">
        <v>411</v>
      </c>
      <c r="AL99" s="35" t="s">
        <v>411</v>
      </c>
      <c r="AM99" s="35">
        <v>1738</v>
      </c>
      <c r="AN99" s="35" t="s">
        <v>408</v>
      </c>
      <c r="AO99" s="35">
        <v>52.8</v>
      </c>
      <c r="AQ99" s="35" t="s">
        <v>105</v>
      </c>
      <c r="AR99" s="35">
        <v>1.45</v>
      </c>
      <c r="AS99" s="35" t="s">
        <v>411</v>
      </c>
      <c r="AT99" s="35" t="s">
        <v>411</v>
      </c>
      <c r="AU99" s="35" t="s">
        <v>411</v>
      </c>
      <c r="AV99" s="35" t="s">
        <v>411</v>
      </c>
      <c r="AW99" s="35" t="s">
        <v>411</v>
      </c>
      <c r="AX99" s="35" t="s">
        <v>411</v>
      </c>
      <c r="AY99" s="35" t="s">
        <v>411</v>
      </c>
      <c r="AZ99" s="35" t="s">
        <v>411</v>
      </c>
    </row>
    <row r="100" spans="1:52" x14ac:dyDescent="0.25">
      <c r="A100" s="36" t="s">
        <v>516</v>
      </c>
      <c r="B100" s="36" t="s">
        <v>515</v>
      </c>
      <c r="C100" s="35">
        <v>90</v>
      </c>
      <c r="D100" s="35">
        <v>42</v>
      </c>
      <c r="E100" s="35">
        <v>4.3</v>
      </c>
      <c r="F100" s="35">
        <v>3.5</v>
      </c>
      <c r="G100" s="35">
        <v>0.04</v>
      </c>
      <c r="H100" s="35">
        <v>0.3</v>
      </c>
      <c r="I100" s="35">
        <v>0.1</v>
      </c>
      <c r="J100" s="35">
        <v>1.8</v>
      </c>
      <c r="L100" s="35">
        <v>34</v>
      </c>
      <c r="M100" s="35">
        <v>83</v>
      </c>
      <c r="N100" s="35">
        <v>1235</v>
      </c>
      <c r="O100" s="35">
        <v>2720</v>
      </c>
      <c r="P100" s="35">
        <v>1445</v>
      </c>
      <c r="Q100" s="35">
        <v>3180</v>
      </c>
      <c r="S100" s="35">
        <v>0.75</v>
      </c>
      <c r="T100" s="35">
        <v>0.8</v>
      </c>
      <c r="U100" s="35">
        <v>0.8</v>
      </c>
      <c r="V100" s="35">
        <v>0.4</v>
      </c>
      <c r="W100" s="35">
        <v>1.4</v>
      </c>
      <c r="X100" s="35">
        <v>2.2999999999999998</v>
      </c>
      <c r="Y100" s="35">
        <v>1.4</v>
      </c>
      <c r="Z100" s="35">
        <v>2.5</v>
      </c>
      <c r="AA100" s="35">
        <v>7.4</v>
      </c>
      <c r="AB100" s="35">
        <v>1.4</v>
      </c>
      <c r="AC100" s="35">
        <v>2.6</v>
      </c>
      <c r="AE100" s="35" t="s">
        <v>74</v>
      </c>
      <c r="AF100" s="35" t="s">
        <v>74</v>
      </c>
      <c r="AG100" s="35" t="s">
        <v>408</v>
      </c>
      <c r="AH100" s="35" t="s">
        <v>411</v>
      </c>
      <c r="AI100" s="35">
        <v>1.5</v>
      </c>
      <c r="AJ100" s="35">
        <v>9</v>
      </c>
      <c r="AK100" s="35" t="s">
        <v>411</v>
      </c>
      <c r="AL100" s="35" t="s">
        <v>411</v>
      </c>
      <c r="AM100" s="35">
        <v>660</v>
      </c>
      <c r="AN100" s="35" t="s">
        <v>408</v>
      </c>
      <c r="AO100" s="35">
        <v>33</v>
      </c>
      <c r="AQ100" s="35" t="s">
        <v>105</v>
      </c>
      <c r="AR100" s="35">
        <v>0.5</v>
      </c>
      <c r="AS100" s="35" t="s">
        <v>411</v>
      </c>
      <c r="AT100" s="35" t="s">
        <v>411</v>
      </c>
      <c r="AU100" s="35" t="s">
        <v>411</v>
      </c>
      <c r="AV100" s="35" t="s">
        <v>411</v>
      </c>
      <c r="AW100" s="35" t="s">
        <v>411</v>
      </c>
      <c r="AX100" s="35" t="s">
        <v>411</v>
      </c>
      <c r="AY100" s="35" t="s">
        <v>411</v>
      </c>
      <c r="AZ100" s="35" t="s">
        <v>411</v>
      </c>
    </row>
    <row r="101" spans="1:52" x14ac:dyDescent="0.25">
      <c r="A101" s="36" t="s">
        <v>514</v>
      </c>
      <c r="B101" s="36" t="s">
        <v>513</v>
      </c>
      <c r="C101" s="35">
        <v>89</v>
      </c>
      <c r="D101" s="35">
        <v>11</v>
      </c>
      <c r="E101" s="35">
        <v>2.8</v>
      </c>
      <c r="F101" s="35">
        <v>2</v>
      </c>
      <c r="G101" s="35">
        <v>0.04</v>
      </c>
      <c r="H101" s="35">
        <v>0.28999999999999998</v>
      </c>
      <c r="I101" s="35">
        <v>0.1</v>
      </c>
      <c r="J101" s="35">
        <v>1.7</v>
      </c>
      <c r="L101" s="35">
        <v>6.3</v>
      </c>
      <c r="M101" s="35">
        <v>71</v>
      </c>
      <c r="N101" s="35">
        <v>1505</v>
      </c>
      <c r="O101" s="35">
        <v>3310</v>
      </c>
      <c r="P101" s="35">
        <v>1470</v>
      </c>
      <c r="Q101" s="35">
        <v>3230</v>
      </c>
      <c r="S101" s="35" t="s">
        <v>512</v>
      </c>
      <c r="T101" s="35" t="s">
        <v>511</v>
      </c>
      <c r="U101" s="35" t="s">
        <v>510</v>
      </c>
      <c r="V101" s="35">
        <v>0.09</v>
      </c>
      <c r="W101" s="35" t="s">
        <v>509</v>
      </c>
      <c r="X101" s="35" t="s">
        <v>455</v>
      </c>
      <c r="Y101" s="35" t="s">
        <v>508</v>
      </c>
      <c r="Z101" s="35" t="s">
        <v>507</v>
      </c>
      <c r="AA101" s="35" t="s">
        <v>506</v>
      </c>
      <c r="AB101" s="35" t="s">
        <v>505</v>
      </c>
      <c r="AC101" s="35" t="s">
        <v>504</v>
      </c>
      <c r="AE101" s="35" t="s">
        <v>74</v>
      </c>
      <c r="AF101" s="35" t="s">
        <v>74</v>
      </c>
      <c r="AG101" s="35">
        <v>12.2</v>
      </c>
      <c r="AH101" s="35">
        <v>3.9</v>
      </c>
      <c r="AI101" s="35">
        <v>1.2</v>
      </c>
      <c r="AJ101" s="35">
        <v>11</v>
      </c>
      <c r="AK101" s="35">
        <v>180</v>
      </c>
      <c r="AL101" s="35">
        <v>200</v>
      </c>
      <c r="AM101" s="35">
        <v>678</v>
      </c>
      <c r="AN101" s="35" t="s">
        <v>408</v>
      </c>
      <c r="AO101" s="35">
        <v>42.7</v>
      </c>
      <c r="AQ101" s="35">
        <v>0.03</v>
      </c>
      <c r="AR101" s="35">
        <v>0.34</v>
      </c>
      <c r="AS101" s="35">
        <v>0.09</v>
      </c>
      <c r="AT101" s="35">
        <v>0.2</v>
      </c>
      <c r="AU101" s="35">
        <v>0.09</v>
      </c>
      <c r="AV101" s="35">
        <v>12.9</v>
      </c>
      <c r="AW101" s="35">
        <v>52</v>
      </c>
      <c r="AX101" s="35">
        <v>14.1</v>
      </c>
      <c r="AY101" s="35">
        <v>13.7</v>
      </c>
      <c r="AZ101" s="35" t="s">
        <v>411</v>
      </c>
    </row>
    <row r="102" spans="1:52" x14ac:dyDescent="0.25">
      <c r="A102" s="36" t="s">
        <v>503</v>
      </c>
      <c r="B102" s="36" t="s">
        <v>502</v>
      </c>
      <c r="C102" s="35">
        <v>90</v>
      </c>
      <c r="D102" s="35">
        <v>38</v>
      </c>
      <c r="E102" s="35">
        <v>18</v>
      </c>
      <c r="F102" s="35">
        <v>5</v>
      </c>
      <c r="G102" s="35">
        <v>0.25</v>
      </c>
      <c r="H102" s="35">
        <v>0.59</v>
      </c>
      <c r="I102" s="35">
        <v>0.2</v>
      </c>
      <c r="J102" s="35">
        <v>4.5999999999999996</v>
      </c>
      <c r="L102" s="35">
        <v>34.1</v>
      </c>
      <c r="M102" s="35">
        <v>85</v>
      </c>
      <c r="N102" s="35">
        <v>1520</v>
      </c>
      <c r="O102" s="35">
        <v>3350</v>
      </c>
      <c r="P102" s="35">
        <v>1610</v>
      </c>
      <c r="Q102" s="35">
        <v>3540</v>
      </c>
      <c r="S102" s="35">
        <v>0.54</v>
      </c>
      <c r="T102" s="35">
        <v>0.55000000000000004</v>
      </c>
      <c r="U102" s="35">
        <v>2.4</v>
      </c>
      <c r="V102" s="35">
        <v>0.52</v>
      </c>
      <c r="W102" s="35">
        <v>1.69</v>
      </c>
      <c r="X102" s="35">
        <v>2.1800000000000002</v>
      </c>
      <c r="Y102" s="35">
        <v>1.01</v>
      </c>
      <c r="Z102" s="35">
        <v>2.02</v>
      </c>
      <c r="AA102" s="35">
        <v>2.8</v>
      </c>
      <c r="AB102" s="35">
        <v>2.8</v>
      </c>
      <c r="AC102" s="35">
        <v>2.1</v>
      </c>
      <c r="AE102" s="35" t="s">
        <v>74</v>
      </c>
      <c r="AF102" s="35" t="s">
        <v>74</v>
      </c>
      <c r="AG102" s="35">
        <v>31</v>
      </c>
      <c r="AH102" s="35">
        <v>6.6</v>
      </c>
      <c r="AI102" s="35">
        <v>2.64</v>
      </c>
      <c r="AJ102" s="35">
        <v>15.6</v>
      </c>
      <c r="AK102" s="35">
        <v>286</v>
      </c>
      <c r="AL102" s="35">
        <v>3520</v>
      </c>
      <c r="AM102" s="35">
        <v>2420</v>
      </c>
      <c r="AN102" s="35" t="s">
        <v>408</v>
      </c>
      <c r="AO102" s="35">
        <v>22</v>
      </c>
      <c r="AQ102" s="35">
        <v>0.04</v>
      </c>
      <c r="AR102" s="35">
        <v>1.7</v>
      </c>
      <c r="AS102" s="35">
        <v>0.03</v>
      </c>
      <c r="AT102" s="35">
        <v>0.21</v>
      </c>
      <c r="AU102" s="35">
        <v>0.3</v>
      </c>
      <c r="AV102" s="35">
        <v>30</v>
      </c>
      <c r="AW102" s="35">
        <v>75</v>
      </c>
      <c r="AX102" s="35">
        <v>15</v>
      </c>
      <c r="AY102" s="35">
        <v>35</v>
      </c>
      <c r="AZ102" s="35">
        <v>0.1</v>
      </c>
    </row>
    <row r="103" spans="1:52" x14ac:dyDescent="0.25">
      <c r="A103" s="36" t="s">
        <v>501</v>
      </c>
      <c r="B103" s="36" t="s">
        <v>500</v>
      </c>
      <c r="C103" s="35">
        <v>89</v>
      </c>
      <c r="D103" s="35">
        <v>42</v>
      </c>
      <c r="E103" s="35">
        <v>3.5</v>
      </c>
      <c r="F103" s="35">
        <v>6.5</v>
      </c>
      <c r="G103" s="35">
        <v>0.2</v>
      </c>
      <c r="H103" s="35">
        <v>0.6</v>
      </c>
      <c r="I103" s="35">
        <v>0.2</v>
      </c>
      <c r="J103" s="35">
        <v>6</v>
      </c>
      <c r="L103" s="35">
        <v>35.5</v>
      </c>
      <c r="M103" s="35">
        <v>78</v>
      </c>
      <c r="N103" s="35">
        <v>1100</v>
      </c>
      <c r="O103" s="35">
        <v>2420</v>
      </c>
      <c r="P103" s="35">
        <v>1360</v>
      </c>
      <c r="Q103" s="35">
        <v>2990</v>
      </c>
      <c r="S103" s="35">
        <v>0.6</v>
      </c>
      <c r="T103" s="35">
        <v>0.62</v>
      </c>
      <c r="U103" s="35">
        <v>2.7</v>
      </c>
      <c r="V103" s="35">
        <v>0.57999999999999996</v>
      </c>
      <c r="W103" s="35">
        <v>1.7</v>
      </c>
      <c r="X103" s="35">
        <v>2.8</v>
      </c>
      <c r="Y103" s="35">
        <v>1.1000000000000001</v>
      </c>
      <c r="Z103" s="35">
        <v>2.2000000000000002</v>
      </c>
      <c r="AA103" s="35">
        <v>3.8</v>
      </c>
      <c r="AB103" s="35">
        <v>3.2</v>
      </c>
      <c r="AC103" s="35">
        <v>2.1</v>
      </c>
      <c r="AE103" s="35" t="s">
        <v>74</v>
      </c>
      <c r="AF103" s="35" t="s">
        <v>74</v>
      </c>
      <c r="AG103" s="35">
        <v>6.6</v>
      </c>
      <c r="AH103" s="35">
        <v>1.7</v>
      </c>
      <c r="AI103" s="35">
        <v>4.4000000000000004</v>
      </c>
      <c r="AJ103" s="35">
        <v>13.8</v>
      </c>
      <c r="AK103" s="35">
        <v>320</v>
      </c>
      <c r="AL103" s="35">
        <v>450</v>
      </c>
      <c r="AM103" s="35">
        <v>2673</v>
      </c>
      <c r="AN103" s="35" t="s">
        <v>408</v>
      </c>
      <c r="AO103" s="35">
        <v>36.700000000000003</v>
      </c>
      <c r="AQ103" s="35">
        <v>0.04</v>
      </c>
      <c r="AR103" s="35">
        <v>1.71</v>
      </c>
      <c r="AS103" s="35">
        <v>0.02</v>
      </c>
      <c r="AT103" s="35">
        <v>0.25</v>
      </c>
      <c r="AU103" s="35">
        <v>0.33</v>
      </c>
      <c r="AV103" s="35">
        <v>32.299999999999997</v>
      </c>
      <c r="AW103" s="35">
        <v>160</v>
      </c>
      <c r="AX103" s="35">
        <v>18</v>
      </c>
      <c r="AY103" s="35">
        <v>59</v>
      </c>
      <c r="AZ103" s="35">
        <v>0.1</v>
      </c>
    </row>
    <row r="104" spans="1:52" x14ac:dyDescent="0.25">
      <c r="A104" s="36" t="s">
        <v>499</v>
      </c>
      <c r="B104" s="36" t="s">
        <v>498</v>
      </c>
      <c r="C104" s="35">
        <v>90</v>
      </c>
      <c r="D104" s="35">
        <v>44</v>
      </c>
      <c r="E104" s="35">
        <v>0.5</v>
      </c>
      <c r="F104" s="35">
        <v>7</v>
      </c>
      <c r="G104" s="35">
        <v>0.25</v>
      </c>
      <c r="H104" s="35">
        <v>0.6</v>
      </c>
      <c r="I104" s="35">
        <v>0.2</v>
      </c>
      <c r="J104" s="35">
        <v>6</v>
      </c>
      <c r="L104" s="35">
        <v>37.5</v>
      </c>
      <c r="M104" s="35">
        <v>78</v>
      </c>
      <c r="N104" s="35">
        <v>1020</v>
      </c>
      <c r="O104" s="35">
        <v>2240</v>
      </c>
      <c r="P104" s="35">
        <v>1405</v>
      </c>
      <c r="Q104" s="35">
        <v>3090</v>
      </c>
      <c r="S104" s="35">
        <v>0.65</v>
      </c>
      <c r="T104" s="35">
        <v>0.67</v>
      </c>
      <c r="U104" s="35">
        <v>2.7</v>
      </c>
      <c r="V104" s="35">
        <v>0.6</v>
      </c>
      <c r="W104" s="35">
        <v>1.7</v>
      </c>
      <c r="X104" s="35">
        <v>2.5</v>
      </c>
      <c r="Y104" s="35">
        <v>1.1000000000000001</v>
      </c>
      <c r="Z104" s="35">
        <v>2.4</v>
      </c>
      <c r="AA104" s="35">
        <v>3.4</v>
      </c>
      <c r="AB104" s="35">
        <v>3.4</v>
      </c>
      <c r="AC104" s="35">
        <v>2.2000000000000002</v>
      </c>
      <c r="AE104" s="35" t="s">
        <v>74</v>
      </c>
      <c r="AF104" s="35" t="s">
        <v>74</v>
      </c>
      <c r="AG104" s="35">
        <v>3</v>
      </c>
      <c r="AH104" s="35">
        <v>1.7</v>
      </c>
      <c r="AI104" s="35">
        <v>3</v>
      </c>
      <c r="AJ104" s="35">
        <v>13.3</v>
      </c>
      <c r="AK104" s="35">
        <v>320</v>
      </c>
      <c r="AL104" s="35">
        <v>450</v>
      </c>
      <c r="AM104" s="35">
        <v>2743</v>
      </c>
      <c r="AN104" s="35" t="s">
        <v>408</v>
      </c>
      <c r="AO104" s="35">
        <v>59.8</v>
      </c>
      <c r="AQ104" s="35">
        <v>0.04</v>
      </c>
      <c r="AR104" s="35">
        <v>1.97</v>
      </c>
      <c r="AS104" s="35">
        <v>0.02</v>
      </c>
      <c r="AT104" s="35">
        <v>0.27</v>
      </c>
      <c r="AU104" s="35">
        <v>0.43</v>
      </c>
      <c r="AV104" s="35">
        <v>27.5</v>
      </c>
      <c r="AW104" s="35">
        <v>120</v>
      </c>
      <c r="AX104" s="35">
        <v>28</v>
      </c>
      <c r="AY104" s="35">
        <v>60</v>
      </c>
      <c r="AZ104" s="35">
        <v>0.1</v>
      </c>
    </row>
    <row r="105" spans="1:52" x14ac:dyDescent="0.25">
      <c r="A105" s="36" t="s">
        <v>497</v>
      </c>
      <c r="B105" s="36" t="s">
        <v>496</v>
      </c>
      <c r="C105" s="35">
        <v>88</v>
      </c>
      <c r="D105" s="35">
        <v>47.8</v>
      </c>
      <c r="E105" s="35">
        <v>1</v>
      </c>
      <c r="F105" s="35">
        <v>3</v>
      </c>
      <c r="G105" s="35">
        <v>0.31</v>
      </c>
      <c r="H105" s="35">
        <v>0.72</v>
      </c>
      <c r="I105" s="35">
        <v>0.24</v>
      </c>
      <c r="J105" s="35">
        <v>6</v>
      </c>
      <c r="L105" s="35">
        <v>46.6</v>
      </c>
      <c r="M105" s="35">
        <v>79</v>
      </c>
      <c r="N105" s="35">
        <v>1100</v>
      </c>
      <c r="O105" s="35">
        <v>2425</v>
      </c>
      <c r="P105" s="35">
        <v>1425</v>
      </c>
      <c r="Q105" s="35">
        <v>3140</v>
      </c>
      <c r="S105" s="35" t="s">
        <v>495</v>
      </c>
      <c r="T105" s="35" t="s">
        <v>494</v>
      </c>
      <c r="U105" s="35" t="s">
        <v>493</v>
      </c>
      <c r="V105" s="35">
        <v>0.7</v>
      </c>
      <c r="W105" s="35" t="s">
        <v>492</v>
      </c>
      <c r="X105" s="35" t="s">
        <v>491</v>
      </c>
      <c r="Y105" s="35" t="s">
        <v>490</v>
      </c>
      <c r="Z105" s="35" t="s">
        <v>489</v>
      </c>
      <c r="AA105" s="35" t="s">
        <v>488</v>
      </c>
      <c r="AB105" s="35" t="s">
        <v>487</v>
      </c>
      <c r="AC105" s="35" t="s">
        <v>486</v>
      </c>
      <c r="AE105" s="35" t="s">
        <v>74</v>
      </c>
      <c r="AF105" s="35" t="s">
        <v>74</v>
      </c>
      <c r="AG105" s="35">
        <v>3.3</v>
      </c>
      <c r="AH105" s="35">
        <v>1.7</v>
      </c>
      <c r="AI105" s="35">
        <v>2.6</v>
      </c>
      <c r="AJ105" s="35">
        <v>13.2</v>
      </c>
      <c r="AK105" s="35">
        <v>320</v>
      </c>
      <c r="AL105" s="35">
        <v>700</v>
      </c>
      <c r="AM105" s="35">
        <v>2850</v>
      </c>
      <c r="AN105" s="35" t="s">
        <v>408</v>
      </c>
      <c r="AO105" s="35">
        <v>20.9</v>
      </c>
      <c r="AQ105" s="35">
        <v>0.04</v>
      </c>
      <c r="AR105" s="35">
        <v>2.0499999999999998</v>
      </c>
      <c r="AS105" s="35">
        <v>0.02</v>
      </c>
      <c r="AT105" s="35">
        <v>0.28000000000000003</v>
      </c>
      <c r="AU105" s="35">
        <v>0.43</v>
      </c>
      <c r="AV105" s="35">
        <v>41</v>
      </c>
      <c r="AW105" s="35">
        <v>171</v>
      </c>
      <c r="AX105" s="35">
        <v>15.3</v>
      </c>
      <c r="AY105" s="35">
        <v>48.5</v>
      </c>
      <c r="AZ105" s="35">
        <v>0.1</v>
      </c>
    </row>
    <row r="106" spans="1:52" x14ac:dyDescent="0.25">
      <c r="A106" s="36" t="s">
        <v>485</v>
      </c>
      <c r="B106" s="36" t="s">
        <v>484</v>
      </c>
      <c r="C106" s="35">
        <v>93</v>
      </c>
      <c r="D106" s="35">
        <v>41</v>
      </c>
      <c r="E106" s="35">
        <v>7.6</v>
      </c>
      <c r="F106" s="35">
        <v>21</v>
      </c>
      <c r="G106" s="35">
        <v>0.43</v>
      </c>
      <c r="H106" s="35">
        <v>1</v>
      </c>
      <c r="I106" s="35">
        <v>0.25</v>
      </c>
      <c r="J106" s="35">
        <v>6.8</v>
      </c>
      <c r="L106" s="35">
        <v>32.4</v>
      </c>
      <c r="M106" s="35">
        <v>61</v>
      </c>
      <c r="N106" s="35">
        <v>1050</v>
      </c>
      <c r="O106" s="35">
        <v>2310</v>
      </c>
      <c r="P106" s="35">
        <v>1245</v>
      </c>
      <c r="Q106" s="35">
        <v>2740</v>
      </c>
      <c r="S106" s="35">
        <v>1.6</v>
      </c>
      <c r="T106" s="35">
        <v>0.8</v>
      </c>
      <c r="U106" s="35">
        <v>2</v>
      </c>
      <c r="V106" s="35">
        <v>0.6</v>
      </c>
      <c r="W106" s="35">
        <v>1.6</v>
      </c>
      <c r="X106" s="35">
        <v>2.4</v>
      </c>
      <c r="Y106" s="35">
        <v>1.1000000000000001</v>
      </c>
      <c r="Z106" s="35">
        <v>2.4</v>
      </c>
      <c r="AA106" s="35">
        <v>2.5</v>
      </c>
      <c r="AB106" s="35">
        <v>4.2</v>
      </c>
      <c r="AC106" s="35">
        <v>2.4</v>
      </c>
      <c r="AE106" s="35" t="s">
        <v>74</v>
      </c>
      <c r="AF106" s="35" t="s">
        <v>74</v>
      </c>
      <c r="AG106" s="35" t="s">
        <v>411</v>
      </c>
      <c r="AH106" s="35" t="s">
        <v>408</v>
      </c>
      <c r="AI106" s="35" t="s">
        <v>408</v>
      </c>
      <c r="AJ106" s="35" t="s">
        <v>408</v>
      </c>
      <c r="AK106" s="35" t="s">
        <v>408</v>
      </c>
      <c r="AL106" s="35" t="s">
        <v>408</v>
      </c>
      <c r="AM106" s="35" t="s">
        <v>408</v>
      </c>
      <c r="AN106" s="35" t="s">
        <v>408</v>
      </c>
      <c r="AO106" s="35" t="s">
        <v>408</v>
      </c>
      <c r="AQ106" s="35">
        <v>0.2</v>
      </c>
      <c r="AR106" s="35">
        <v>1</v>
      </c>
      <c r="AS106" s="35">
        <v>0.01</v>
      </c>
      <c r="AT106" s="35">
        <v>0.75</v>
      </c>
      <c r="AU106" s="35" t="s">
        <v>411</v>
      </c>
      <c r="AV106" s="35">
        <v>22.9</v>
      </c>
      <c r="AW106" s="35">
        <v>110</v>
      </c>
      <c r="AX106" s="35">
        <v>35</v>
      </c>
      <c r="AY106" s="35">
        <v>100</v>
      </c>
      <c r="AZ106" s="35" t="s">
        <v>411</v>
      </c>
    </row>
    <row r="107" spans="1:52" x14ac:dyDescent="0.25">
      <c r="A107" s="36" t="s">
        <v>483</v>
      </c>
      <c r="B107" s="36" t="s">
        <v>482</v>
      </c>
      <c r="C107" s="35">
        <v>93</v>
      </c>
      <c r="D107" s="35">
        <v>42</v>
      </c>
      <c r="E107" s="35">
        <v>2.2999999999999998</v>
      </c>
      <c r="F107" s="35">
        <v>21</v>
      </c>
      <c r="G107" s="35">
        <v>0.4</v>
      </c>
      <c r="H107" s="35">
        <v>1</v>
      </c>
      <c r="I107" s="35">
        <v>0.25</v>
      </c>
      <c r="J107" s="35">
        <v>7</v>
      </c>
      <c r="L107" s="35">
        <v>41.1</v>
      </c>
      <c r="M107" s="35">
        <v>60</v>
      </c>
      <c r="N107" s="35">
        <v>800</v>
      </c>
      <c r="O107" s="35">
        <v>1760</v>
      </c>
      <c r="P107" s="35">
        <v>1040</v>
      </c>
      <c r="Q107" s="35">
        <v>2290</v>
      </c>
      <c r="S107" s="35">
        <v>1.5</v>
      </c>
      <c r="T107" s="35">
        <v>0.7</v>
      </c>
      <c r="U107" s="35">
        <v>1.7</v>
      </c>
      <c r="V107" s="35">
        <v>0.5</v>
      </c>
      <c r="W107" s="35">
        <v>1.5</v>
      </c>
      <c r="X107" s="35">
        <v>2.1</v>
      </c>
      <c r="Y107" s="35">
        <v>1</v>
      </c>
      <c r="Z107" s="35">
        <v>2.2999999999999998</v>
      </c>
      <c r="AA107" s="35">
        <v>2.6</v>
      </c>
      <c r="AB107" s="35">
        <v>3.5</v>
      </c>
      <c r="AC107" s="35">
        <v>2.2000000000000002</v>
      </c>
      <c r="AE107" s="35" t="s">
        <v>74</v>
      </c>
      <c r="AF107" s="35" t="s">
        <v>74</v>
      </c>
      <c r="AG107" s="35">
        <v>11</v>
      </c>
      <c r="AH107" s="35" t="s">
        <v>408</v>
      </c>
      <c r="AI107" s="35">
        <v>3.1</v>
      </c>
      <c r="AJ107" s="35">
        <v>10</v>
      </c>
      <c r="AK107" s="35" t="s">
        <v>408</v>
      </c>
      <c r="AL107" s="35" t="s">
        <v>408</v>
      </c>
      <c r="AM107" s="35">
        <v>2900</v>
      </c>
      <c r="AN107" s="35" t="s">
        <v>408</v>
      </c>
      <c r="AO107" s="35">
        <v>220</v>
      </c>
      <c r="AQ107" s="35">
        <v>0.2</v>
      </c>
      <c r="AR107" s="35">
        <v>1</v>
      </c>
      <c r="AS107" s="35">
        <v>0.01</v>
      </c>
      <c r="AT107" s="35">
        <v>0.75</v>
      </c>
      <c r="AU107" s="35" t="s">
        <v>411</v>
      </c>
      <c r="AV107" s="35">
        <v>23</v>
      </c>
      <c r="AW107" s="35">
        <v>110</v>
      </c>
      <c r="AX107" s="35">
        <v>35</v>
      </c>
      <c r="AY107" s="35">
        <v>100</v>
      </c>
      <c r="AZ107" s="35" t="s">
        <v>411</v>
      </c>
    </row>
    <row r="108" spans="1:52" x14ac:dyDescent="0.25">
      <c r="A108" s="36" t="s">
        <v>481</v>
      </c>
      <c r="B108" s="36" t="s">
        <v>480</v>
      </c>
      <c r="C108" s="35">
        <v>92</v>
      </c>
      <c r="D108" s="35">
        <v>34</v>
      </c>
      <c r="E108" s="35">
        <v>0.5</v>
      </c>
      <c r="F108" s="35">
        <v>13</v>
      </c>
      <c r="G108" s="35">
        <v>0.3</v>
      </c>
      <c r="H108" s="35">
        <v>1.25</v>
      </c>
      <c r="I108" s="35">
        <v>0.27</v>
      </c>
      <c r="J108" s="35">
        <v>7.1</v>
      </c>
      <c r="L108" s="35">
        <v>28.5</v>
      </c>
      <c r="M108" s="35">
        <v>61</v>
      </c>
      <c r="N108" s="35">
        <v>1025</v>
      </c>
      <c r="O108" s="35">
        <v>2260</v>
      </c>
      <c r="P108" s="35">
        <v>1185</v>
      </c>
      <c r="Q108" s="35">
        <v>2600</v>
      </c>
      <c r="S108" s="35" t="s">
        <v>479</v>
      </c>
      <c r="T108" s="35" t="s">
        <v>478</v>
      </c>
      <c r="U108" s="35" t="s">
        <v>477</v>
      </c>
      <c r="V108" s="35">
        <v>0.35</v>
      </c>
      <c r="W108" s="35" t="s">
        <v>476</v>
      </c>
      <c r="X108" s="35" t="s">
        <v>475</v>
      </c>
      <c r="Y108" s="35" t="s">
        <v>474</v>
      </c>
      <c r="Z108" s="35" t="s">
        <v>473</v>
      </c>
      <c r="AA108" s="35" t="s">
        <v>472</v>
      </c>
      <c r="AB108" s="35" t="s">
        <v>471</v>
      </c>
      <c r="AC108" s="35" t="s">
        <v>470</v>
      </c>
      <c r="AE108" s="35" t="s">
        <v>74</v>
      </c>
      <c r="AF108" s="35">
        <v>6.9</v>
      </c>
      <c r="AG108" s="35">
        <v>23.3</v>
      </c>
      <c r="AH108" s="35">
        <v>3.6</v>
      </c>
      <c r="AI108" s="35">
        <v>3.2</v>
      </c>
      <c r="AJ108" s="35">
        <v>29.9</v>
      </c>
      <c r="AK108" s="35">
        <v>1038</v>
      </c>
      <c r="AL108" s="35">
        <v>1848</v>
      </c>
      <c r="AM108" s="35">
        <v>1909</v>
      </c>
      <c r="AN108" s="35" t="s">
        <v>408</v>
      </c>
      <c r="AO108" s="35">
        <v>100</v>
      </c>
      <c r="AQ108" s="35">
        <v>0.2</v>
      </c>
      <c r="AR108" s="35">
        <v>1.6</v>
      </c>
      <c r="AS108" s="35">
        <v>0.01</v>
      </c>
      <c r="AT108" s="35">
        <v>0.62</v>
      </c>
      <c r="AU108" s="35">
        <v>0.38</v>
      </c>
      <c r="AV108" s="35">
        <v>34</v>
      </c>
      <c r="AW108" s="35">
        <v>50</v>
      </c>
      <c r="AX108" s="35">
        <v>15</v>
      </c>
      <c r="AY108" s="35">
        <v>100</v>
      </c>
      <c r="AZ108" s="35">
        <v>1.5</v>
      </c>
    </row>
    <row r="109" spans="1:52" x14ac:dyDescent="0.25">
      <c r="A109" s="36" t="s">
        <v>469</v>
      </c>
      <c r="B109" s="36" t="s">
        <v>468</v>
      </c>
      <c r="C109" s="35">
        <v>93</v>
      </c>
      <c r="D109" s="35">
        <v>21</v>
      </c>
      <c r="E109" s="35">
        <v>10</v>
      </c>
      <c r="F109" s="35">
        <v>25</v>
      </c>
      <c r="G109" s="35">
        <v>0.4</v>
      </c>
      <c r="H109" s="35">
        <v>0.56999999999999995</v>
      </c>
      <c r="I109" s="35">
        <v>0.2</v>
      </c>
      <c r="J109" s="35">
        <v>6</v>
      </c>
      <c r="L109" s="35">
        <v>12.6</v>
      </c>
      <c r="M109" s="35">
        <v>67</v>
      </c>
      <c r="N109" s="35">
        <v>800</v>
      </c>
      <c r="O109" s="35">
        <v>1760</v>
      </c>
      <c r="P109" s="35" t="s">
        <v>411</v>
      </c>
      <c r="Q109" s="35" t="s">
        <v>411</v>
      </c>
      <c r="S109" s="35">
        <v>0.1</v>
      </c>
      <c r="T109" s="35" t="s">
        <v>408</v>
      </c>
      <c r="U109" s="35">
        <v>1.6</v>
      </c>
      <c r="V109" s="35">
        <v>0.2</v>
      </c>
      <c r="W109" s="35">
        <v>0.7</v>
      </c>
      <c r="X109" s="35">
        <v>0.7</v>
      </c>
      <c r="Y109" s="35">
        <v>0.4</v>
      </c>
      <c r="Z109" s="35">
        <v>1</v>
      </c>
      <c r="AA109" s="35">
        <v>1.7</v>
      </c>
      <c r="AB109" s="35">
        <v>1.2</v>
      </c>
      <c r="AC109" s="35">
        <v>0.9</v>
      </c>
      <c r="AE109" s="35" t="s">
        <v>74</v>
      </c>
      <c r="AF109" s="35" t="s">
        <v>74</v>
      </c>
      <c r="AG109" s="35" t="s">
        <v>408</v>
      </c>
      <c r="AH109" s="35">
        <v>11.8</v>
      </c>
      <c r="AI109" s="35">
        <v>6.2</v>
      </c>
      <c r="AJ109" s="35" t="s">
        <v>411</v>
      </c>
      <c r="AK109" s="35" t="s">
        <v>411</v>
      </c>
      <c r="AL109" s="35" t="s">
        <v>411</v>
      </c>
      <c r="AM109" s="35" t="s">
        <v>411</v>
      </c>
      <c r="AN109" s="35" t="s">
        <v>411</v>
      </c>
      <c r="AO109" s="35" t="s">
        <v>411</v>
      </c>
      <c r="AQ109" s="35" t="s">
        <v>105</v>
      </c>
      <c r="AR109" s="35">
        <v>3.34</v>
      </c>
      <c r="AS109" s="35" t="s">
        <v>411</v>
      </c>
      <c r="AT109" s="35">
        <v>0.18</v>
      </c>
      <c r="AU109" s="35" t="s">
        <v>411</v>
      </c>
      <c r="AV109" s="35">
        <v>47</v>
      </c>
      <c r="AW109" s="35">
        <v>900</v>
      </c>
      <c r="AX109" s="35">
        <v>30</v>
      </c>
      <c r="AY109" s="35" t="s">
        <v>411</v>
      </c>
      <c r="AZ109" s="35" t="s">
        <v>411</v>
      </c>
    </row>
    <row r="110" spans="1:52" x14ac:dyDescent="0.25">
      <c r="A110" s="36" t="s">
        <v>467</v>
      </c>
      <c r="B110" s="36" t="s">
        <v>466</v>
      </c>
      <c r="C110" s="35">
        <v>90</v>
      </c>
      <c r="D110" s="35">
        <v>12.5</v>
      </c>
      <c r="E110" s="35">
        <v>1.5</v>
      </c>
      <c r="F110" s="35" t="s">
        <v>411</v>
      </c>
      <c r="G110" s="35">
        <v>0.05</v>
      </c>
      <c r="H110" s="35">
        <v>0.3</v>
      </c>
      <c r="I110" s="35">
        <v>0.1</v>
      </c>
      <c r="J110" s="35" t="s">
        <v>411</v>
      </c>
      <c r="L110" s="35" t="s">
        <v>105</v>
      </c>
      <c r="M110" s="35" t="s">
        <v>105</v>
      </c>
      <c r="N110" s="35">
        <v>1430</v>
      </c>
      <c r="O110" s="35">
        <v>3150</v>
      </c>
      <c r="P110" s="35">
        <v>1430</v>
      </c>
      <c r="Q110" s="35">
        <v>3150</v>
      </c>
      <c r="S110" s="35">
        <v>0.26</v>
      </c>
      <c r="T110" s="35">
        <v>0.26</v>
      </c>
      <c r="U110" s="35">
        <v>0.39</v>
      </c>
      <c r="V110" s="35">
        <v>0.14000000000000001</v>
      </c>
      <c r="W110" s="35">
        <v>0.36</v>
      </c>
      <c r="X110" s="35">
        <v>0.76</v>
      </c>
      <c r="Y110" s="35">
        <v>0.39</v>
      </c>
      <c r="Z110" s="35">
        <v>0.51</v>
      </c>
      <c r="AA110" s="35">
        <v>0.39</v>
      </c>
      <c r="AB110" s="35">
        <v>0.48</v>
      </c>
      <c r="AC110" s="35">
        <v>0.49</v>
      </c>
      <c r="AE110" s="35" t="s">
        <v>74</v>
      </c>
      <c r="AF110" s="35" t="s">
        <v>74</v>
      </c>
      <c r="AG110" s="35" t="s">
        <v>408</v>
      </c>
      <c r="AH110" s="35" t="s">
        <v>408</v>
      </c>
      <c r="AI110" s="35">
        <v>0.4</v>
      </c>
      <c r="AJ110" s="35" t="s">
        <v>408</v>
      </c>
      <c r="AK110" s="35" t="s">
        <v>408</v>
      </c>
      <c r="AL110" s="35" t="s">
        <v>408</v>
      </c>
      <c r="AM110" s="35">
        <v>460</v>
      </c>
      <c r="AN110" s="35" t="s">
        <v>408</v>
      </c>
      <c r="AO110" s="35" t="s">
        <v>408</v>
      </c>
      <c r="AQ110" s="35" t="s">
        <v>74</v>
      </c>
      <c r="AR110" s="35" t="s">
        <v>74</v>
      </c>
      <c r="AS110" s="35">
        <v>7.0000000000000007E-2</v>
      </c>
      <c r="AT110" s="35" t="s">
        <v>408</v>
      </c>
      <c r="AU110" s="35">
        <v>0.2</v>
      </c>
      <c r="AV110" s="35">
        <v>43</v>
      </c>
      <c r="AW110" s="35">
        <v>44</v>
      </c>
      <c r="AX110" s="35">
        <v>8</v>
      </c>
      <c r="AY110" s="35">
        <v>32</v>
      </c>
      <c r="AZ110" s="35" t="s">
        <v>408</v>
      </c>
    </row>
    <row r="111" spans="1:52" x14ac:dyDescent="0.25">
      <c r="A111" s="36" t="s">
        <v>465</v>
      </c>
      <c r="B111" s="36" t="s">
        <v>464</v>
      </c>
      <c r="C111" s="35">
        <v>88</v>
      </c>
      <c r="D111" s="35">
        <v>13.5</v>
      </c>
      <c r="E111" s="35">
        <v>1.9</v>
      </c>
      <c r="F111" s="35">
        <v>3</v>
      </c>
      <c r="G111" s="35">
        <v>0.05</v>
      </c>
      <c r="H111" s="35">
        <v>0.41</v>
      </c>
      <c r="I111" s="35">
        <v>0.12</v>
      </c>
      <c r="J111" s="35">
        <v>2</v>
      </c>
      <c r="L111" s="35">
        <v>10.9</v>
      </c>
      <c r="M111" s="35">
        <v>76</v>
      </c>
      <c r="N111" s="35">
        <v>1440</v>
      </c>
      <c r="O111" s="35">
        <v>3170</v>
      </c>
      <c r="P111" s="35">
        <v>1465</v>
      </c>
      <c r="Q111" s="35">
        <v>3220</v>
      </c>
      <c r="S111" s="35" t="s">
        <v>463</v>
      </c>
      <c r="T111" s="35" t="s">
        <v>462</v>
      </c>
      <c r="U111" s="35" t="s">
        <v>461</v>
      </c>
      <c r="V111" s="35">
        <v>0.18</v>
      </c>
      <c r="W111" s="35" t="s">
        <v>460</v>
      </c>
      <c r="X111" s="35" t="s">
        <v>459</v>
      </c>
      <c r="Y111" s="35" t="s">
        <v>458</v>
      </c>
      <c r="Z111" s="35" t="s">
        <v>457</v>
      </c>
      <c r="AA111" s="35" t="s">
        <v>456</v>
      </c>
      <c r="AB111" s="35" t="s">
        <v>455</v>
      </c>
      <c r="AC111" s="35" t="s">
        <v>454</v>
      </c>
      <c r="AE111" s="35" t="s">
        <v>74</v>
      </c>
      <c r="AF111" s="35" t="s">
        <v>74</v>
      </c>
      <c r="AG111" s="35">
        <v>15.5</v>
      </c>
      <c r="AH111" s="35">
        <v>5.2</v>
      </c>
      <c r="AI111" s="35">
        <v>1.1000000000000001</v>
      </c>
      <c r="AJ111" s="35">
        <v>13.5</v>
      </c>
      <c r="AK111" s="35">
        <v>100</v>
      </c>
      <c r="AL111" s="35">
        <v>426</v>
      </c>
      <c r="AM111" s="35">
        <v>778</v>
      </c>
      <c r="AN111" s="35" t="s">
        <v>408</v>
      </c>
      <c r="AO111" s="35">
        <v>56.1</v>
      </c>
      <c r="AQ111" s="35">
        <v>0.06</v>
      </c>
      <c r="AR111" s="35">
        <v>0.5</v>
      </c>
      <c r="AS111" s="35">
        <v>7.0000000000000007E-2</v>
      </c>
      <c r="AT111" s="35">
        <v>0.11</v>
      </c>
      <c r="AU111" s="35">
        <v>0.1</v>
      </c>
      <c r="AV111" s="35">
        <v>40</v>
      </c>
      <c r="AW111" s="35">
        <v>50</v>
      </c>
      <c r="AX111" s="35">
        <v>10.6</v>
      </c>
      <c r="AY111" s="35">
        <v>34</v>
      </c>
      <c r="AZ111" s="35">
        <v>0.2</v>
      </c>
    </row>
    <row r="112" spans="1:52" x14ac:dyDescent="0.25">
      <c r="A112" s="36" t="s">
        <v>453</v>
      </c>
      <c r="B112" s="36" t="s">
        <v>452</v>
      </c>
      <c r="C112" s="35">
        <v>86</v>
      </c>
      <c r="D112" s="35">
        <v>10.8</v>
      </c>
      <c r="E112" s="35">
        <v>1.7</v>
      </c>
      <c r="F112" s="35">
        <v>2.8</v>
      </c>
      <c r="G112" s="35">
        <v>0.05</v>
      </c>
      <c r="H112" s="35">
        <v>0.3</v>
      </c>
      <c r="I112" s="35">
        <v>0.11</v>
      </c>
      <c r="J112" s="35">
        <v>2</v>
      </c>
      <c r="L112" s="35">
        <v>8.5</v>
      </c>
      <c r="M112" s="35">
        <v>79</v>
      </c>
      <c r="N112" s="35">
        <v>1460</v>
      </c>
      <c r="O112" s="35">
        <v>3210</v>
      </c>
      <c r="P112" s="35">
        <v>1550</v>
      </c>
      <c r="Q112" s="35">
        <v>3415</v>
      </c>
      <c r="S112" s="35" t="s">
        <v>451</v>
      </c>
      <c r="T112" s="35" t="s">
        <v>450</v>
      </c>
      <c r="U112" s="35" t="s">
        <v>449</v>
      </c>
      <c r="V112" s="35">
        <v>0.12</v>
      </c>
      <c r="W112" s="35" t="s">
        <v>448</v>
      </c>
      <c r="X112" s="35" t="s">
        <v>447</v>
      </c>
      <c r="Y112" s="35" t="s">
        <v>446</v>
      </c>
      <c r="Z112" s="35" t="s">
        <v>445</v>
      </c>
      <c r="AA112" s="35" t="s">
        <v>444</v>
      </c>
      <c r="AB112" s="35" t="s">
        <v>443</v>
      </c>
      <c r="AC112" s="35" t="s">
        <v>442</v>
      </c>
      <c r="AE112" s="35" t="s">
        <v>74</v>
      </c>
      <c r="AF112" s="35" t="s">
        <v>74</v>
      </c>
      <c r="AG112" s="35">
        <v>15.5</v>
      </c>
      <c r="AH112" s="35">
        <v>4.8</v>
      </c>
      <c r="AI112" s="35">
        <v>1.2</v>
      </c>
      <c r="AJ112" s="35">
        <v>12.8</v>
      </c>
      <c r="AK112" s="35">
        <v>100</v>
      </c>
      <c r="AL112" s="35">
        <v>300</v>
      </c>
      <c r="AM112" s="35">
        <v>778</v>
      </c>
      <c r="AN112" s="35" t="s">
        <v>408</v>
      </c>
      <c r="AO112" s="35">
        <v>48.4</v>
      </c>
      <c r="AQ112" s="35">
        <v>0.06</v>
      </c>
      <c r="AR112" s="35">
        <v>0.4</v>
      </c>
      <c r="AS112" s="35">
        <v>7.0000000000000007E-2</v>
      </c>
      <c r="AT112" s="35">
        <v>0.1</v>
      </c>
      <c r="AU112" s="35">
        <v>0.1</v>
      </c>
      <c r="AV112" s="35">
        <v>30</v>
      </c>
      <c r="AW112" s="35">
        <v>43</v>
      </c>
      <c r="AX112" s="35">
        <v>9.6999999999999993</v>
      </c>
      <c r="AY112" s="35">
        <v>28</v>
      </c>
      <c r="AZ112" s="35">
        <v>0.1</v>
      </c>
    </row>
    <row r="113" spans="1:52" x14ac:dyDescent="0.25">
      <c r="A113" s="36" t="s">
        <v>441</v>
      </c>
      <c r="B113" s="36" t="s">
        <v>440</v>
      </c>
      <c r="C113" s="35">
        <v>89</v>
      </c>
      <c r="D113" s="35">
        <v>14.8</v>
      </c>
      <c r="E113" s="35">
        <v>4</v>
      </c>
      <c r="F113" s="35">
        <v>10</v>
      </c>
      <c r="G113" s="35">
        <v>0.14000000000000001</v>
      </c>
      <c r="H113" s="35">
        <v>1.17</v>
      </c>
      <c r="I113" s="35">
        <v>0.38</v>
      </c>
      <c r="J113" s="35">
        <v>6.4</v>
      </c>
      <c r="L113" s="35">
        <v>11.5</v>
      </c>
      <c r="M113" s="35">
        <v>62</v>
      </c>
      <c r="N113" s="35">
        <v>590</v>
      </c>
      <c r="O113" s="35">
        <v>1300</v>
      </c>
      <c r="P113" s="35">
        <v>1055</v>
      </c>
      <c r="Q113" s="35">
        <v>2320</v>
      </c>
      <c r="S113" s="35">
        <v>0.2</v>
      </c>
      <c r="T113" s="35">
        <v>0.3</v>
      </c>
      <c r="U113" s="35">
        <v>0.6</v>
      </c>
      <c r="V113" s="35">
        <v>0.3</v>
      </c>
      <c r="W113" s="35">
        <v>0.48</v>
      </c>
      <c r="X113" s="35">
        <v>0.6</v>
      </c>
      <c r="Y113" s="35">
        <v>0.3</v>
      </c>
      <c r="Z113" s="35">
        <v>0.7</v>
      </c>
      <c r="AA113" s="35">
        <v>0.9</v>
      </c>
      <c r="AB113" s="35">
        <v>1.07</v>
      </c>
      <c r="AC113" s="35">
        <v>0.56999999999999995</v>
      </c>
      <c r="AE113" s="35" t="s">
        <v>74</v>
      </c>
      <c r="AF113" s="35" t="s">
        <v>74</v>
      </c>
      <c r="AG113" s="35">
        <v>10.8</v>
      </c>
      <c r="AH113" s="35">
        <v>6</v>
      </c>
      <c r="AI113" s="35">
        <v>3.1</v>
      </c>
      <c r="AJ113" s="35">
        <v>29</v>
      </c>
      <c r="AK113" s="35">
        <v>110</v>
      </c>
      <c r="AL113" s="35">
        <v>1800</v>
      </c>
      <c r="AM113" s="35">
        <v>980</v>
      </c>
      <c r="AN113" s="35" t="s">
        <v>408</v>
      </c>
      <c r="AO113" s="35">
        <v>321</v>
      </c>
      <c r="AQ113" s="35">
        <v>0.06</v>
      </c>
      <c r="AR113" s="35">
        <v>1.2</v>
      </c>
      <c r="AS113" s="35">
        <v>0.14000000000000001</v>
      </c>
      <c r="AT113" s="35">
        <v>0.55000000000000004</v>
      </c>
      <c r="AU113" s="35">
        <v>0.22</v>
      </c>
      <c r="AV113" s="35">
        <v>100</v>
      </c>
      <c r="AW113" s="35">
        <v>170</v>
      </c>
      <c r="AX113" s="35">
        <v>10.3</v>
      </c>
      <c r="AY113" s="35">
        <v>95</v>
      </c>
      <c r="AZ113" s="35">
        <v>0.8</v>
      </c>
    </row>
    <row r="114" spans="1:52" x14ac:dyDescent="0.25">
      <c r="A114" s="36" t="s">
        <v>439</v>
      </c>
      <c r="B114" s="36" t="s">
        <v>438</v>
      </c>
      <c r="C114" s="35">
        <v>89</v>
      </c>
      <c r="D114" s="35">
        <v>16</v>
      </c>
      <c r="E114" s="35">
        <v>4.2</v>
      </c>
      <c r="F114" s="35">
        <v>6</v>
      </c>
      <c r="G114" s="35">
        <v>0.11</v>
      </c>
      <c r="H114" s="35">
        <v>1.1399999999999999</v>
      </c>
      <c r="I114" s="35">
        <v>0.48</v>
      </c>
      <c r="J114" s="35">
        <v>8.1999999999999993</v>
      </c>
      <c r="L114" s="35">
        <v>12</v>
      </c>
      <c r="M114" s="35">
        <v>77</v>
      </c>
      <c r="N114" s="35">
        <v>1150</v>
      </c>
      <c r="O114" s="35">
        <v>2530</v>
      </c>
      <c r="P114" s="35">
        <v>1320</v>
      </c>
      <c r="Q114" s="35">
        <v>2910</v>
      </c>
      <c r="S114" s="35" t="s">
        <v>437</v>
      </c>
      <c r="T114" s="35" t="s">
        <v>436</v>
      </c>
      <c r="U114" s="35" t="s">
        <v>435</v>
      </c>
      <c r="V114" s="35">
        <v>0.23</v>
      </c>
      <c r="W114" s="35" t="s">
        <v>434</v>
      </c>
      <c r="X114" s="35" t="s">
        <v>433</v>
      </c>
      <c r="Y114" s="35" t="s">
        <v>432</v>
      </c>
      <c r="Z114" s="35" t="s">
        <v>431</v>
      </c>
      <c r="AA114" s="35" t="s">
        <v>430</v>
      </c>
      <c r="AB114" s="35" t="s">
        <v>429</v>
      </c>
      <c r="AC114" s="35" t="s">
        <v>428</v>
      </c>
      <c r="AE114" s="35">
        <v>3</v>
      </c>
      <c r="AF114" s="35">
        <v>5.2</v>
      </c>
      <c r="AG114" s="35">
        <v>29.9</v>
      </c>
      <c r="AH114" s="35">
        <v>19.899999999999999</v>
      </c>
      <c r="AI114" s="35">
        <v>2</v>
      </c>
      <c r="AJ114" s="35">
        <v>17.600000000000001</v>
      </c>
      <c r="AK114" s="35" t="s">
        <v>411</v>
      </c>
      <c r="AL114" s="35">
        <v>1420</v>
      </c>
      <c r="AM114" s="35">
        <v>930</v>
      </c>
      <c r="AN114" s="35" t="s">
        <v>408</v>
      </c>
      <c r="AO114" s="35">
        <v>100</v>
      </c>
      <c r="AQ114" s="35">
        <v>7.0000000000000007E-2</v>
      </c>
      <c r="AR114" s="35">
        <v>0.88</v>
      </c>
      <c r="AS114" s="35">
        <v>0.08</v>
      </c>
      <c r="AT114" s="35">
        <v>0.26</v>
      </c>
      <c r="AU114" s="35">
        <v>0.23</v>
      </c>
      <c r="AV114" s="35">
        <v>100</v>
      </c>
      <c r="AW114" s="35">
        <v>100</v>
      </c>
      <c r="AX114" s="35">
        <v>12.1</v>
      </c>
      <c r="AY114" s="35">
        <v>105.5</v>
      </c>
      <c r="AZ114" s="35">
        <v>0.6</v>
      </c>
    </row>
    <row r="115" spans="1:52" x14ac:dyDescent="0.25">
      <c r="A115" s="36" t="s">
        <v>427</v>
      </c>
      <c r="B115" s="36" t="s">
        <v>426</v>
      </c>
      <c r="C115" s="35">
        <v>89</v>
      </c>
      <c r="D115" s="35">
        <v>25</v>
      </c>
      <c r="E115" s="35">
        <v>7</v>
      </c>
      <c r="F115" s="35">
        <v>3.5</v>
      </c>
      <c r="G115" s="35">
        <v>0.01</v>
      </c>
      <c r="H115" s="35">
        <v>1</v>
      </c>
      <c r="I115" s="35">
        <v>0.31</v>
      </c>
      <c r="J115" s="35">
        <v>5.3</v>
      </c>
      <c r="L115" s="35">
        <v>19.5</v>
      </c>
      <c r="M115" s="35">
        <v>84</v>
      </c>
      <c r="N115" s="35">
        <v>1280</v>
      </c>
      <c r="O115" s="35">
        <v>2820</v>
      </c>
      <c r="P115" s="35">
        <v>1090</v>
      </c>
      <c r="Q115" s="35">
        <v>2400</v>
      </c>
      <c r="S115" s="35">
        <v>0.42</v>
      </c>
      <c r="T115" s="35">
        <v>0.46</v>
      </c>
      <c r="U115" s="35">
        <v>1.37</v>
      </c>
      <c r="V115" s="35">
        <v>0.3</v>
      </c>
      <c r="W115" s="35">
        <v>0.94</v>
      </c>
      <c r="X115" s="35">
        <v>0.79</v>
      </c>
      <c r="Y115" s="35">
        <v>0.62</v>
      </c>
      <c r="Z115" s="35">
        <v>1.1200000000000001</v>
      </c>
      <c r="AA115" s="35">
        <v>1.1000000000000001</v>
      </c>
      <c r="AB115" s="35">
        <v>1.83</v>
      </c>
      <c r="AC115" s="35">
        <v>0.93</v>
      </c>
      <c r="AE115" s="35" t="s">
        <v>74</v>
      </c>
      <c r="AF115" s="35" t="s">
        <v>74</v>
      </c>
      <c r="AG115" s="35">
        <v>133</v>
      </c>
      <c r="AH115" s="35">
        <v>21.9</v>
      </c>
      <c r="AI115" s="35">
        <v>6.1</v>
      </c>
      <c r="AJ115" s="35">
        <v>23.2</v>
      </c>
      <c r="AK115" s="35" t="s">
        <v>411</v>
      </c>
      <c r="AL115" s="35">
        <v>2800</v>
      </c>
      <c r="AM115" s="35">
        <v>3175</v>
      </c>
      <c r="AN115" s="35" t="s">
        <v>408</v>
      </c>
      <c r="AO115" s="35" t="s">
        <v>408</v>
      </c>
      <c r="AQ115" s="35">
        <v>0.02</v>
      </c>
      <c r="AR115" s="35">
        <v>0.9</v>
      </c>
      <c r="AS115" s="35">
        <v>0.08</v>
      </c>
      <c r="AT115" s="35">
        <v>0.22</v>
      </c>
      <c r="AU115" s="35">
        <v>0.31</v>
      </c>
      <c r="AV115" s="35">
        <v>100</v>
      </c>
      <c r="AW115" s="35">
        <v>41</v>
      </c>
      <c r="AX115" s="35">
        <v>10</v>
      </c>
      <c r="AY115" s="35">
        <v>115</v>
      </c>
      <c r="AZ115" s="35">
        <v>0.6</v>
      </c>
    </row>
    <row r="116" spans="1:52" x14ac:dyDescent="0.25">
      <c r="A116" s="36" t="s">
        <v>425</v>
      </c>
      <c r="B116" s="36" t="s">
        <v>424</v>
      </c>
      <c r="C116" s="35">
        <v>89</v>
      </c>
      <c r="D116" s="35">
        <v>15</v>
      </c>
      <c r="E116" s="35">
        <v>3.6</v>
      </c>
      <c r="F116" s="35">
        <v>8.5</v>
      </c>
      <c r="G116" s="35">
        <v>0.15</v>
      </c>
      <c r="H116" s="35">
        <v>1.17</v>
      </c>
      <c r="I116" s="35">
        <v>0.45</v>
      </c>
      <c r="J116" s="35">
        <v>5.5</v>
      </c>
      <c r="L116" s="35">
        <v>12.2</v>
      </c>
      <c r="M116" s="35">
        <v>81</v>
      </c>
      <c r="N116" s="35">
        <v>950</v>
      </c>
      <c r="O116" s="35">
        <v>2090</v>
      </c>
      <c r="P116" s="35">
        <v>1000</v>
      </c>
      <c r="Q116" s="35">
        <v>2200</v>
      </c>
      <c r="S116" s="35">
        <v>0.12</v>
      </c>
      <c r="T116" s="35">
        <v>0.19</v>
      </c>
      <c r="U116" s="35">
        <v>0.7</v>
      </c>
      <c r="V116" s="35">
        <v>0.2</v>
      </c>
      <c r="W116" s="35">
        <v>0.5</v>
      </c>
      <c r="X116" s="35">
        <v>0.7</v>
      </c>
      <c r="Y116" s="35">
        <v>0.4</v>
      </c>
      <c r="Z116" s="35">
        <v>0.8</v>
      </c>
      <c r="AA116" s="35">
        <v>1.1000000000000001</v>
      </c>
      <c r="AB116" s="35">
        <v>1</v>
      </c>
      <c r="AC116" s="35">
        <v>0.5</v>
      </c>
      <c r="AE116" s="35">
        <v>3</v>
      </c>
      <c r="AF116" s="35">
        <v>5.2</v>
      </c>
      <c r="AG116" s="35">
        <v>57.6</v>
      </c>
      <c r="AH116" s="35">
        <v>18.899999999999999</v>
      </c>
      <c r="AI116" s="35">
        <v>1.5</v>
      </c>
      <c r="AJ116" s="35">
        <v>13.6</v>
      </c>
      <c r="AK116" s="35">
        <v>110</v>
      </c>
      <c r="AL116" s="35">
        <v>560</v>
      </c>
      <c r="AM116" s="35">
        <v>1100</v>
      </c>
      <c r="AN116" s="35" t="s">
        <v>408</v>
      </c>
      <c r="AO116" s="35">
        <v>52.6</v>
      </c>
      <c r="AQ116" s="35">
        <v>0.06</v>
      </c>
      <c r="AR116" s="35">
        <v>0.6</v>
      </c>
      <c r="AS116" s="35">
        <v>7.0000000000000007E-2</v>
      </c>
      <c r="AT116" s="35">
        <v>0.28999999999999998</v>
      </c>
      <c r="AU116" s="35">
        <v>0.16</v>
      </c>
      <c r="AV116" s="35">
        <v>100</v>
      </c>
      <c r="AW116" s="35">
        <v>60</v>
      </c>
      <c r="AX116" s="35">
        <v>8</v>
      </c>
      <c r="AY116" s="35">
        <v>100</v>
      </c>
      <c r="AZ116" s="35">
        <v>0.6</v>
      </c>
    </row>
    <row r="117" spans="1:52" x14ac:dyDescent="0.25">
      <c r="A117" s="36" t="s">
        <v>423</v>
      </c>
      <c r="B117" s="36" t="s">
        <v>422</v>
      </c>
      <c r="C117" s="35">
        <v>89</v>
      </c>
      <c r="D117" s="35">
        <v>14.8</v>
      </c>
      <c r="E117" s="35">
        <v>2.6</v>
      </c>
      <c r="F117" s="35">
        <v>6.2</v>
      </c>
      <c r="G117" s="35">
        <v>0.18</v>
      </c>
      <c r="H117" s="35">
        <v>0.43</v>
      </c>
      <c r="I117" s="35">
        <v>0.11</v>
      </c>
      <c r="J117" s="35">
        <v>2.1</v>
      </c>
      <c r="L117" s="35">
        <v>12.1</v>
      </c>
      <c r="M117" s="35">
        <v>50</v>
      </c>
      <c r="N117" s="35">
        <v>1265</v>
      </c>
      <c r="O117" s="35">
        <v>2780</v>
      </c>
      <c r="P117" s="35">
        <v>1090</v>
      </c>
      <c r="Q117" s="35">
        <v>2400</v>
      </c>
      <c r="S117" s="35">
        <v>0.17</v>
      </c>
      <c r="T117" s="35">
        <v>0.2</v>
      </c>
      <c r="U117" s="35">
        <v>0.4</v>
      </c>
      <c r="V117" s="35">
        <v>0.1</v>
      </c>
      <c r="W117" s="35">
        <v>0.3</v>
      </c>
      <c r="X117" s="35">
        <v>0.47</v>
      </c>
      <c r="Y117" s="35">
        <v>0.2</v>
      </c>
      <c r="Z117" s="35">
        <v>0.54</v>
      </c>
      <c r="AA117" s="35">
        <v>0.8</v>
      </c>
      <c r="AB117" s="35">
        <v>0.6</v>
      </c>
      <c r="AC117" s="35">
        <v>0.7</v>
      </c>
      <c r="AE117" s="35" t="s">
        <v>74</v>
      </c>
      <c r="AF117" s="35" t="s">
        <v>74</v>
      </c>
      <c r="AG117" s="35" t="s">
        <v>408</v>
      </c>
      <c r="AH117" s="35">
        <v>0.6</v>
      </c>
      <c r="AI117" s="35">
        <v>1.4</v>
      </c>
      <c r="AJ117" s="35">
        <v>12.8</v>
      </c>
      <c r="AK117" s="35" t="s">
        <v>411</v>
      </c>
      <c r="AL117" s="35" t="s">
        <v>411</v>
      </c>
      <c r="AM117" s="35" t="s">
        <v>411</v>
      </c>
      <c r="AN117" s="35" t="s">
        <v>408</v>
      </c>
      <c r="AO117" s="35">
        <v>69</v>
      </c>
      <c r="AQ117" s="35">
        <v>0.06</v>
      </c>
      <c r="AR117" s="35" t="s">
        <v>105</v>
      </c>
      <c r="AS117" s="35">
        <v>7.0000000000000007E-2</v>
      </c>
      <c r="AT117" s="35">
        <v>0.18</v>
      </c>
      <c r="AU117" s="35" t="s">
        <v>411</v>
      </c>
      <c r="AV117" s="35">
        <v>28</v>
      </c>
      <c r="AW117" s="35">
        <v>35</v>
      </c>
      <c r="AX117" s="35">
        <v>7.3</v>
      </c>
      <c r="AY117" s="35">
        <v>30.7</v>
      </c>
      <c r="AZ117" s="35">
        <v>0.9</v>
      </c>
    </row>
    <row r="118" spans="1:52" x14ac:dyDescent="0.25">
      <c r="A118" s="36" t="s">
        <v>421</v>
      </c>
      <c r="B118" s="36" t="s">
        <v>420</v>
      </c>
      <c r="C118" s="35">
        <v>92</v>
      </c>
      <c r="D118" s="35">
        <v>12.5</v>
      </c>
      <c r="E118" s="35">
        <v>3.9</v>
      </c>
      <c r="F118" s="35">
        <v>7.6</v>
      </c>
      <c r="G118" s="35">
        <v>0.13</v>
      </c>
      <c r="H118" s="35">
        <v>0.32</v>
      </c>
      <c r="I118" s="35">
        <v>0.09</v>
      </c>
      <c r="J118" s="35">
        <v>4.3</v>
      </c>
      <c r="L118" s="35">
        <v>12.6</v>
      </c>
      <c r="M118" s="35">
        <v>52</v>
      </c>
      <c r="N118" s="35">
        <v>1205</v>
      </c>
      <c r="O118" s="35">
        <v>2650</v>
      </c>
      <c r="P118" s="35">
        <v>955</v>
      </c>
      <c r="Q118" s="35">
        <v>2100</v>
      </c>
      <c r="S118" s="35">
        <v>0.12</v>
      </c>
      <c r="T118" s="35">
        <v>0.1</v>
      </c>
      <c r="U118" s="35">
        <v>0.48</v>
      </c>
      <c r="V118" s="35">
        <v>0.1</v>
      </c>
      <c r="W118" s="35">
        <v>0.3</v>
      </c>
      <c r="X118" s="35">
        <v>0.42</v>
      </c>
      <c r="Y118" s="35">
        <v>0.26</v>
      </c>
      <c r="Z118" s="35">
        <v>0.52</v>
      </c>
      <c r="AA118" s="35">
        <v>0.6</v>
      </c>
      <c r="AB118" s="35">
        <v>0.82</v>
      </c>
      <c r="AC118" s="35">
        <v>0.4</v>
      </c>
      <c r="AE118" s="35" t="s">
        <v>74</v>
      </c>
      <c r="AF118" s="35" t="s">
        <v>74</v>
      </c>
      <c r="AG118" s="35" t="s">
        <v>408</v>
      </c>
      <c r="AH118" s="35">
        <v>0.3</v>
      </c>
      <c r="AI118" s="35">
        <v>1.2</v>
      </c>
      <c r="AJ118" s="35">
        <v>10.9</v>
      </c>
      <c r="AK118" s="35" t="s">
        <v>411</v>
      </c>
      <c r="AL118" s="35" t="s">
        <v>411</v>
      </c>
      <c r="AM118" s="35" t="s">
        <v>411</v>
      </c>
      <c r="AN118" s="35" t="s">
        <v>408</v>
      </c>
      <c r="AO118" s="35">
        <v>40</v>
      </c>
      <c r="AQ118" s="35">
        <v>0.06</v>
      </c>
      <c r="AR118" s="35" t="s">
        <v>105</v>
      </c>
      <c r="AS118" s="35">
        <v>7.0000000000000007E-2</v>
      </c>
      <c r="AT118" s="35">
        <v>0.22</v>
      </c>
      <c r="AU118" s="35" t="s">
        <v>411</v>
      </c>
      <c r="AV118" s="35">
        <v>28</v>
      </c>
      <c r="AW118" s="35">
        <v>35</v>
      </c>
      <c r="AX118" s="35">
        <v>3.9</v>
      </c>
      <c r="AY118" s="35">
        <v>22.7</v>
      </c>
      <c r="AZ118" s="35">
        <v>0.38</v>
      </c>
    </row>
    <row r="119" spans="1:52" x14ac:dyDescent="0.25">
      <c r="A119" s="36" t="s">
        <v>419</v>
      </c>
      <c r="B119" s="36" t="s">
        <v>418</v>
      </c>
      <c r="C119" s="35">
        <v>91</v>
      </c>
      <c r="D119" s="35">
        <v>12.4</v>
      </c>
      <c r="E119" s="35">
        <v>4.5</v>
      </c>
      <c r="F119" s="35">
        <v>13.4</v>
      </c>
      <c r="G119" s="35">
        <v>0.23</v>
      </c>
      <c r="H119" s="35">
        <v>0.28999999999999998</v>
      </c>
      <c r="I119" s="35">
        <v>0.09</v>
      </c>
      <c r="J119" s="35">
        <v>10.3</v>
      </c>
      <c r="L119" s="35">
        <v>2</v>
      </c>
      <c r="M119" s="35">
        <v>60</v>
      </c>
      <c r="N119" s="35">
        <v>430</v>
      </c>
      <c r="O119" s="35">
        <v>950</v>
      </c>
      <c r="P119" s="35">
        <v>695</v>
      </c>
      <c r="Q119" s="35">
        <v>1530</v>
      </c>
      <c r="S119" s="35">
        <v>0.15</v>
      </c>
      <c r="T119" s="35" t="s">
        <v>411</v>
      </c>
      <c r="U119" s="35">
        <v>0.3</v>
      </c>
      <c r="V119" s="35" t="s">
        <v>411</v>
      </c>
      <c r="W119" s="35">
        <v>0.4</v>
      </c>
      <c r="X119" s="35">
        <v>0.4</v>
      </c>
      <c r="Y119" s="35">
        <v>0.2</v>
      </c>
      <c r="Z119" s="35">
        <v>0.57999999999999996</v>
      </c>
      <c r="AA119" s="35">
        <v>1</v>
      </c>
      <c r="AB119" s="35">
        <v>0.6</v>
      </c>
      <c r="AC119" s="35">
        <v>0.5</v>
      </c>
      <c r="AE119" s="35" t="s">
        <v>74</v>
      </c>
      <c r="AF119" s="35" t="s">
        <v>74</v>
      </c>
      <c r="AG119" s="35" t="s">
        <v>408</v>
      </c>
      <c r="AH119" s="35">
        <v>0.5</v>
      </c>
      <c r="AI119" s="35">
        <v>0.7</v>
      </c>
      <c r="AJ119" s="35">
        <v>23.2</v>
      </c>
      <c r="AK119" s="35" t="s">
        <v>411</v>
      </c>
      <c r="AL119" s="35" t="s">
        <v>411</v>
      </c>
      <c r="AM119" s="35" t="s">
        <v>411</v>
      </c>
      <c r="AN119" s="35" t="s">
        <v>408</v>
      </c>
      <c r="AO119" s="35">
        <v>47.8</v>
      </c>
      <c r="AQ119" s="35">
        <v>0.06</v>
      </c>
      <c r="AR119" s="35" t="s">
        <v>105</v>
      </c>
      <c r="AS119" s="35">
        <v>7.0000000000000007E-2</v>
      </c>
      <c r="AT119" s="35" t="s">
        <v>411</v>
      </c>
      <c r="AU119" s="35" t="s">
        <v>411</v>
      </c>
      <c r="AV119" s="35" t="s">
        <v>411</v>
      </c>
      <c r="AW119" s="35" t="s">
        <v>411</v>
      </c>
      <c r="AX119" s="35" t="s">
        <v>411</v>
      </c>
      <c r="AY119" s="35" t="s">
        <v>411</v>
      </c>
      <c r="AZ119" s="35">
        <v>0.7</v>
      </c>
    </row>
    <row r="120" spans="1:52" x14ac:dyDescent="0.25">
      <c r="A120" s="36" t="s">
        <v>417</v>
      </c>
      <c r="B120" s="36" t="s">
        <v>416</v>
      </c>
      <c r="C120" s="35">
        <v>94</v>
      </c>
      <c r="D120" s="35">
        <v>17</v>
      </c>
      <c r="E120" s="35">
        <v>1</v>
      </c>
      <c r="F120" s="35">
        <v>0</v>
      </c>
      <c r="G120" s="35">
        <v>1.5</v>
      </c>
      <c r="H120" s="35">
        <v>1.2</v>
      </c>
      <c r="I120" s="35">
        <v>1.2</v>
      </c>
      <c r="J120" s="35">
        <v>19</v>
      </c>
      <c r="L120" s="35">
        <v>16</v>
      </c>
      <c r="M120" s="35">
        <v>75</v>
      </c>
      <c r="N120" s="35">
        <v>955</v>
      </c>
      <c r="O120" s="35">
        <v>2100</v>
      </c>
      <c r="P120" s="35">
        <v>1250</v>
      </c>
      <c r="Q120" s="35">
        <v>2750</v>
      </c>
      <c r="S120" s="35">
        <v>0.56999999999999995</v>
      </c>
      <c r="T120" s="35">
        <v>0.56999999999999995</v>
      </c>
      <c r="U120" s="35">
        <v>1.47</v>
      </c>
      <c r="V120" s="35">
        <v>0.36</v>
      </c>
      <c r="W120" s="35">
        <v>0.86</v>
      </c>
      <c r="X120" s="35">
        <v>1.07</v>
      </c>
      <c r="Y120" s="35">
        <v>0.33</v>
      </c>
      <c r="Z120" s="35">
        <v>0.94</v>
      </c>
      <c r="AA120" s="35">
        <v>1.7</v>
      </c>
      <c r="AB120" s="35">
        <v>0.59</v>
      </c>
      <c r="AC120" s="35">
        <v>0.72</v>
      </c>
      <c r="AE120" s="35" t="s">
        <v>74</v>
      </c>
      <c r="AF120" s="35" t="s">
        <v>74</v>
      </c>
      <c r="AG120" s="35" t="s">
        <v>408</v>
      </c>
      <c r="AH120" s="35">
        <v>5.5</v>
      </c>
      <c r="AI120" s="35">
        <v>21.2</v>
      </c>
      <c r="AJ120" s="35">
        <v>77</v>
      </c>
      <c r="AK120" s="35">
        <v>616</v>
      </c>
      <c r="AL120" s="35">
        <v>1320</v>
      </c>
      <c r="AM120" s="35">
        <v>4400</v>
      </c>
      <c r="AN120" s="35">
        <v>15</v>
      </c>
      <c r="AO120" s="35">
        <v>18.7</v>
      </c>
      <c r="AQ120" s="35">
        <v>1.6</v>
      </c>
      <c r="AR120" s="35">
        <v>3.5</v>
      </c>
      <c r="AS120" s="35">
        <v>1.05</v>
      </c>
      <c r="AT120" s="35">
        <v>0.3</v>
      </c>
      <c r="AU120" s="35">
        <v>1.1000000000000001</v>
      </c>
      <c r="AV120" s="35">
        <v>12</v>
      </c>
      <c r="AW120" s="35">
        <v>240</v>
      </c>
      <c r="AX120" s="35">
        <v>10</v>
      </c>
      <c r="AY120" s="35">
        <v>7</v>
      </c>
      <c r="AZ120" s="35">
        <v>0.06</v>
      </c>
    </row>
    <row r="121" spans="1:52" x14ac:dyDescent="0.25">
      <c r="A121" s="36" t="s">
        <v>415</v>
      </c>
      <c r="B121" s="36" t="s">
        <v>414</v>
      </c>
      <c r="C121" s="35">
        <v>94</v>
      </c>
      <c r="D121" s="35">
        <v>12</v>
      </c>
      <c r="E121" s="35">
        <v>0.7</v>
      </c>
      <c r="F121" s="35">
        <v>0</v>
      </c>
      <c r="G121" s="35">
        <v>0.87</v>
      </c>
      <c r="H121" s="35">
        <v>0.79</v>
      </c>
      <c r="I121" s="35">
        <v>0.79</v>
      </c>
      <c r="J121" s="35">
        <v>9.6999999999999993</v>
      </c>
      <c r="L121" s="35">
        <v>11.2</v>
      </c>
      <c r="M121" s="35">
        <v>79</v>
      </c>
      <c r="N121" s="35">
        <v>865</v>
      </c>
      <c r="O121" s="35">
        <v>1900</v>
      </c>
      <c r="P121" s="35">
        <v>1450</v>
      </c>
      <c r="Q121" s="35">
        <v>3190</v>
      </c>
      <c r="S121" s="35">
        <v>0.2</v>
      </c>
      <c r="T121" s="35">
        <v>0.3</v>
      </c>
      <c r="U121" s="35">
        <v>1.1000000000000001</v>
      </c>
      <c r="V121" s="35">
        <v>0.2</v>
      </c>
      <c r="W121" s="35">
        <v>0.8</v>
      </c>
      <c r="X121" s="35">
        <v>0.9</v>
      </c>
      <c r="Y121" s="35">
        <v>0.2</v>
      </c>
      <c r="Z121" s="35">
        <v>0.7</v>
      </c>
      <c r="AA121" s="35">
        <v>1.2</v>
      </c>
      <c r="AB121" s="35">
        <v>0.4</v>
      </c>
      <c r="AC121" s="35">
        <v>0.4</v>
      </c>
      <c r="AE121" s="35" t="s">
        <v>74</v>
      </c>
      <c r="AF121" s="35" t="s">
        <v>74</v>
      </c>
      <c r="AG121" s="35" t="s">
        <v>408</v>
      </c>
      <c r="AH121" s="35">
        <v>3.7</v>
      </c>
      <c r="AI121" s="35">
        <v>29.9</v>
      </c>
      <c r="AJ121" s="35">
        <v>47.7</v>
      </c>
      <c r="AK121" s="35">
        <v>400</v>
      </c>
      <c r="AL121" s="35">
        <v>900</v>
      </c>
      <c r="AM121" s="35">
        <v>1980</v>
      </c>
      <c r="AN121" s="35">
        <v>15</v>
      </c>
      <c r="AO121" s="35">
        <v>11.2</v>
      </c>
      <c r="AQ121" s="35">
        <v>1.3</v>
      </c>
      <c r="AR121" s="35">
        <v>1.2</v>
      </c>
      <c r="AS121" s="35">
        <v>1.5</v>
      </c>
      <c r="AT121" s="35">
        <v>0.13</v>
      </c>
      <c r="AU121" s="35">
        <v>1.04</v>
      </c>
      <c r="AV121" s="35">
        <v>7</v>
      </c>
      <c r="AW121" s="35">
        <v>160</v>
      </c>
      <c r="AX121" s="35">
        <v>43.1</v>
      </c>
      <c r="AY121" s="35">
        <v>3</v>
      </c>
      <c r="AZ121" s="35">
        <v>0.06</v>
      </c>
    </row>
    <row r="122" spans="1:52" x14ac:dyDescent="0.25">
      <c r="A122" s="36" t="s">
        <v>413</v>
      </c>
      <c r="B122" s="36" t="s">
        <v>412</v>
      </c>
      <c r="C122" s="35">
        <v>93</v>
      </c>
      <c r="D122" s="35">
        <v>14</v>
      </c>
      <c r="E122" s="35">
        <v>3.5</v>
      </c>
      <c r="F122" s="35">
        <v>6</v>
      </c>
      <c r="G122" s="35">
        <v>0.28000000000000003</v>
      </c>
      <c r="H122" s="35">
        <v>0.71</v>
      </c>
      <c r="I122" s="35">
        <v>0.19</v>
      </c>
      <c r="J122" s="35">
        <v>4</v>
      </c>
      <c r="L122" s="35">
        <v>9.8000000000000007</v>
      </c>
      <c r="M122" s="35">
        <v>73</v>
      </c>
      <c r="N122" s="35">
        <v>1200</v>
      </c>
      <c r="O122" s="35">
        <v>2640</v>
      </c>
      <c r="P122" s="35">
        <v>1250</v>
      </c>
      <c r="Q122" s="35">
        <v>2750</v>
      </c>
      <c r="S122" s="35">
        <v>0.34</v>
      </c>
      <c r="T122" s="35">
        <v>0.25</v>
      </c>
      <c r="U122" s="35">
        <v>0.65</v>
      </c>
      <c r="V122" s="35">
        <v>0.13</v>
      </c>
      <c r="W122" s="35">
        <v>0.6</v>
      </c>
      <c r="X122" s="35">
        <v>0.71</v>
      </c>
      <c r="Y122" s="35">
        <v>0.45</v>
      </c>
      <c r="Z122" s="35">
        <v>0.81</v>
      </c>
      <c r="AA122" s="35" t="s">
        <v>411</v>
      </c>
      <c r="AB122" s="35">
        <v>0.85</v>
      </c>
      <c r="AC122" s="35">
        <v>0.67</v>
      </c>
      <c r="AE122" s="35" t="s">
        <v>74</v>
      </c>
      <c r="AF122" s="35">
        <v>6.6</v>
      </c>
      <c r="AG122" s="35">
        <v>27.9</v>
      </c>
      <c r="AH122" s="35">
        <v>7.9</v>
      </c>
      <c r="AI122" s="35">
        <v>6.71</v>
      </c>
      <c r="AJ122" s="35">
        <v>108.4</v>
      </c>
      <c r="AK122" s="35">
        <v>1210</v>
      </c>
      <c r="AL122" s="35">
        <v>1298</v>
      </c>
      <c r="AM122" s="35">
        <v>3711</v>
      </c>
      <c r="AN122" s="35">
        <v>286</v>
      </c>
      <c r="AO122" s="35">
        <v>180</v>
      </c>
      <c r="AQ122" s="35">
        <v>0.1</v>
      </c>
      <c r="AR122" s="35">
        <v>1.6</v>
      </c>
      <c r="AS122" s="35">
        <v>0.12</v>
      </c>
      <c r="AT122" s="35">
        <v>0.3</v>
      </c>
      <c r="AU122" s="35">
        <v>0.24</v>
      </c>
      <c r="AV122" s="35">
        <v>5</v>
      </c>
      <c r="AW122" s="35">
        <v>150</v>
      </c>
      <c r="AX122" s="35">
        <v>30</v>
      </c>
      <c r="AY122" s="35">
        <v>45</v>
      </c>
      <c r="AZ122" s="35">
        <v>1</v>
      </c>
    </row>
    <row r="123" spans="1:52" x14ac:dyDescent="0.25">
      <c r="A123" s="36" t="s">
        <v>410</v>
      </c>
      <c r="B123" s="36" t="s">
        <v>409</v>
      </c>
      <c r="C123" s="35">
        <v>93</v>
      </c>
      <c r="D123" s="35">
        <v>48.5</v>
      </c>
      <c r="E123" s="35">
        <v>2</v>
      </c>
      <c r="F123" s="35">
        <v>2.7</v>
      </c>
      <c r="G123" s="35">
        <v>0.5</v>
      </c>
      <c r="H123" s="35">
        <v>1.6</v>
      </c>
      <c r="I123" s="35">
        <v>0.45</v>
      </c>
      <c r="J123" s="35">
        <v>8</v>
      </c>
      <c r="L123" s="35">
        <v>40.200000000000003</v>
      </c>
      <c r="M123" s="35">
        <v>74</v>
      </c>
      <c r="N123" s="35">
        <v>980</v>
      </c>
      <c r="O123" s="35">
        <v>2160</v>
      </c>
      <c r="P123" s="35">
        <v>1175</v>
      </c>
      <c r="Q123" s="35">
        <v>2580</v>
      </c>
      <c r="S123" s="35">
        <v>0.8</v>
      </c>
      <c r="T123" s="35">
        <v>0.6</v>
      </c>
      <c r="U123" s="35">
        <v>3.8</v>
      </c>
      <c r="V123" s="35">
        <v>0.5</v>
      </c>
      <c r="W123" s="35">
        <v>2.6</v>
      </c>
      <c r="X123" s="35">
        <v>2.9</v>
      </c>
      <c r="Y123" s="35">
        <v>1.4</v>
      </c>
      <c r="Z123" s="35">
        <v>2.9</v>
      </c>
      <c r="AA123" s="35">
        <v>3.5</v>
      </c>
      <c r="AB123" s="35">
        <v>2.6</v>
      </c>
      <c r="AC123" s="35">
        <v>3</v>
      </c>
      <c r="AE123" s="35" t="s">
        <v>74</v>
      </c>
      <c r="AF123" s="35" t="s">
        <v>74</v>
      </c>
      <c r="AG123" s="35" t="s">
        <v>408</v>
      </c>
      <c r="AH123" s="35">
        <v>6.2</v>
      </c>
      <c r="AI123" s="35">
        <v>63.8</v>
      </c>
      <c r="AJ123" s="35">
        <v>82.9</v>
      </c>
      <c r="AK123" s="35">
        <v>1100</v>
      </c>
      <c r="AL123" s="35">
        <v>1310</v>
      </c>
      <c r="AM123" s="35">
        <v>2860</v>
      </c>
      <c r="AN123" s="35" t="s">
        <v>408</v>
      </c>
      <c r="AO123" s="35">
        <v>495</v>
      </c>
      <c r="AQ123" s="35">
        <v>0.1</v>
      </c>
      <c r="AR123" s="35">
        <v>1.88</v>
      </c>
      <c r="AS123" s="35">
        <v>0.08</v>
      </c>
      <c r="AT123" s="35">
        <v>0.13</v>
      </c>
      <c r="AU123" s="35">
        <v>0.3</v>
      </c>
      <c r="AV123" s="35">
        <v>12.8</v>
      </c>
      <c r="AW123" s="35">
        <v>100</v>
      </c>
      <c r="AX123" s="35">
        <v>13.4</v>
      </c>
      <c r="AY123" s="35">
        <v>99.2</v>
      </c>
      <c r="AZ123" s="35">
        <v>1</v>
      </c>
    </row>
  </sheetData>
  <mergeCells count="3">
    <mergeCell ref="N1:O1"/>
    <mergeCell ref="P1:Q1"/>
    <mergeCell ref="A2:B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A5" sqref="A1:F46"/>
    </sheetView>
  </sheetViews>
  <sheetFormatPr defaultRowHeight="15.75" x14ac:dyDescent="0.25"/>
  <cols>
    <col min="1" max="1" width="18.75" style="4" customWidth="1"/>
    <col min="2" max="2" width="9" style="4"/>
    <col min="3" max="3" width="11.125" style="4" customWidth="1"/>
    <col min="4" max="4" width="10" style="4" customWidth="1"/>
    <col min="5" max="16384" width="9" style="4"/>
  </cols>
  <sheetData>
    <row r="1" spans="1:6" x14ac:dyDescent="0.25">
      <c r="A1" s="47" t="s">
        <v>192</v>
      </c>
      <c r="B1" s="47"/>
      <c r="C1" s="47" t="s">
        <v>193</v>
      </c>
      <c r="D1" s="47"/>
    </row>
    <row r="2" spans="1:6" x14ac:dyDescent="0.25">
      <c r="A2" s="5" t="s">
        <v>195</v>
      </c>
      <c r="B2" s="5" t="s">
        <v>196</v>
      </c>
      <c r="C2" s="48" t="s">
        <v>197</v>
      </c>
      <c r="D2" s="49"/>
      <c r="E2" s="48" t="s">
        <v>194</v>
      </c>
      <c r="F2" s="49"/>
    </row>
    <row r="3" spans="1:6" x14ac:dyDescent="0.25">
      <c r="A3" s="50" t="s">
        <v>198</v>
      </c>
      <c r="B3" s="5" t="s">
        <v>199</v>
      </c>
      <c r="C3" s="52">
        <v>3000</v>
      </c>
      <c r="D3" s="53"/>
    </row>
    <row r="4" spans="1:6" x14ac:dyDescent="0.25">
      <c r="A4" s="51"/>
      <c r="B4" s="5" t="s">
        <v>200</v>
      </c>
      <c r="C4" s="48">
        <v>12.55</v>
      </c>
      <c r="D4" s="49"/>
    </row>
    <row r="5" spans="1:6" x14ac:dyDescent="0.25">
      <c r="A5" s="47" t="s">
        <v>201</v>
      </c>
      <c r="B5" s="47"/>
      <c r="C5" s="5" t="s">
        <v>202</v>
      </c>
      <c r="D5" s="5" t="s">
        <v>203</v>
      </c>
    </row>
    <row r="6" spans="1:6" x14ac:dyDescent="0.25">
      <c r="A6" s="5" t="s">
        <v>204</v>
      </c>
      <c r="B6" s="5" t="s">
        <v>205</v>
      </c>
      <c r="C6" s="5">
        <v>1.44</v>
      </c>
      <c r="D6" s="5">
        <v>1.28</v>
      </c>
    </row>
    <row r="7" spans="1:6" x14ac:dyDescent="0.25">
      <c r="A7" s="5" t="s">
        <v>206</v>
      </c>
      <c r="B7" s="5" t="s">
        <v>205</v>
      </c>
      <c r="C7" s="5">
        <v>1.08</v>
      </c>
      <c r="D7" s="5">
        <v>0.95</v>
      </c>
    </row>
    <row r="8" spans="1:6" x14ac:dyDescent="0.25">
      <c r="A8" s="5" t="s">
        <v>207</v>
      </c>
      <c r="B8" s="5" t="s">
        <v>205</v>
      </c>
      <c r="C8" s="5">
        <v>0.56000000000000005</v>
      </c>
      <c r="D8" s="5">
        <v>0.51</v>
      </c>
    </row>
    <row r="9" spans="1:6" x14ac:dyDescent="0.25">
      <c r="A9" s="5" t="s">
        <v>208</v>
      </c>
      <c r="B9" s="5" t="s">
        <v>205</v>
      </c>
      <c r="C9" s="5">
        <v>0.97</v>
      </c>
      <c r="D9" s="5">
        <v>0.86</v>
      </c>
    </row>
    <row r="10" spans="1:6" x14ac:dyDescent="0.25">
      <c r="A10" s="5" t="s">
        <v>209</v>
      </c>
      <c r="B10" s="5" t="s">
        <v>205</v>
      </c>
      <c r="C10" s="7">
        <v>1.1000000000000001</v>
      </c>
      <c r="D10" s="5">
        <v>0.96</v>
      </c>
    </row>
    <row r="11" spans="1:6" x14ac:dyDescent="0.25">
      <c r="A11" s="5" t="s">
        <v>210</v>
      </c>
      <c r="B11" s="5" t="s">
        <v>205</v>
      </c>
      <c r="C11" s="5">
        <v>0.97</v>
      </c>
      <c r="D11" s="5">
        <v>0.86</v>
      </c>
    </row>
    <row r="12" spans="1:6" x14ac:dyDescent="0.25">
      <c r="A12" s="5" t="s">
        <v>211</v>
      </c>
      <c r="B12" s="5" t="s">
        <v>205</v>
      </c>
      <c r="C12" s="5">
        <v>1.52</v>
      </c>
      <c r="D12" s="5">
        <v>1.37</v>
      </c>
    </row>
    <row r="13" spans="1:6" x14ac:dyDescent="0.25">
      <c r="A13" s="5" t="s">
        <v>212</v>
      </c>
      <c r="B13" s="5" t="s">
        <v>205</v>
      </c>
      <c r="C13" s="5">
        <v>0.23</v>
      </c>
      <c r="D13" s="7">
        <v>0.2</v>
      </c>
    </row>
    <row r="14" spans="1:6" x14ac:dyDescent="0.25">
      <c r="A14" s="5" t="s">
        <v>213</v>
      </c>
      <c r="B14" s="5" t="s">
        <v>205</v>
      </c>
      <c r="C14" s="5">
        <v>1.58</v>
      </c>
      <c r="D14" s="5">
        <v>1.41</v>
      </c>
    </row>
    <row r="15" spans="1:6" x14ac:dyDescent="0.25">
      <c r="A15" s="5" t="s">
        <v>214</v>
      </c>
      <c r="B15" s="5" t="s">
        <v>215</v>
      </c>
      <c r="C15" s="54">
        <v>23</v>
      </c>
      <c r="D15" s="54"/>
    </row>
    <row r="16" spans="1:6" x14ac:dyDescent="0.25">
      <c r="A16" s="47" t="s">
        <v>216</v>
      </c>
      <c r="B16" s="47"/>
      <c r="C16" s="47"/>
      <c r="D16" s="47"/>
    </row>
    <row r="17" spans="1:6" x14ac:dyDescent="0.25">
      <c r="A17" s="5" t="s">
        <v>217</v>
      </c>
      <c r="B17" s="5" t="s">
        <v>215</v>
      </c>
      <c r="C17" s="47">
        <v>0.96</v>
      </c>
      <c r="D17" s="47"/>
    </row>
    <row r="18" spans="1:6" x14ac:dyDescent="0.25">
      <c r="A18" s="5" t="s">
        <v>218</v>
      </c>
      <c r="B18" s="5" t="s">
        <v>215</v>
      </c>
      <c r="C18" s="55">
        <v>0.48</v>
      </c>
      <c r="D18" s="55"/>
    </row>
    <row r="19" spans="1:6" x14ac:dyDescent="0.25">
      <c r="A19" s="5" t="s">
        <v>219</v>
      </c>
      <c r="B19" s="5" t="s">
        <v>215</v>
      </c>
      <c r="C19" s="47" t="s">
        <v>220</v>
      </c>
      <c r="D19" s="47"/>
    </row>
    <row r="20" spans="1:6" x14ac:dyDescent="0.25">
      <c r="A20" s="5" t="s">
        <v>221</v>
      </c>
      <c r="B20" s="5" t="s">
        <v>215</v>
      </c>
      <c r="C20" s="47" t="s">
        <v>222</v>
      </c>
      <c r="D20" s="47"/>
    </row>
    <row r="21" spans="1:6" x14ac:dyDescent="0.25">
      <c r="A21" s="5" t="s">
        <v>223</v>
      </c>
      <c r="B21" s="5" t="s">
        <v>215</v>
      </c>
      <c r="C21" s="47" t="s">
        <v>222</v>
      </c>
      <c r="D21" s="47"/>
    </row>
    <row r="22" spans="1:6" x14ac:dyDescent="0.25">
      <c r="A22" s="5" t="s">
        <v>224</v>
      </c>
      <c r="B22" s="5" t="s">
        <v>215</v>
      </c>
      <c r="C22" s="47" t="s">
        <v>225</v>
      </c>
      <c r="D22" s="47"/>
    </row>
    <row r="23" spans="1:6" x14ac:dyDescent="0.25">
      <c r="A23" s="47" t="s">
        <v>226</v>
      </c>
      <c r="B23" s="47"/>
      <c r="C23" s="47"/>
      <c r="D23" s="47"/>
      <c r="F23" s="8"/>
    </row>
    <row r="24" spans="1:6" x14ac:dyDescent="0.25">
      <c r="A24" s="5" t="s">
        <v>227</v>
      </c>
      <c r="B24" s="5" t="s">
        <v>228</v>
      </c>
      <c r="C24" s="47">
        <v>16</v>
      </c>
      <c r="D24" s="47"/>
    </row>
    <row r="25" spans="1:6" x14ac:dyDescent="0.25">
      <c r="A25" s="5" t="s">
        <v>229</v>
      </c>
      <c r="B25" s="5" t="s">
        <v>228</v>
      </c>
      <c r="C25" s="47">
        <v>1.25</v>
      </c>
      <c r="D25" s="47"/>
    </row>
    <row r="26" spans="1:6" x14ac:dyDescent="0.25">
      <c r="A26" s="5" t="s">
        <v>230</v>
      </c>
      <c r="B26" s="5" t="s">
        <v>228</v>
      </c>
      <c r="C26" s="47">
        <v>20</v>
      </c>
      <c r="D26" s="47"/>
    </row>
    <row r="27" spans="1:6" x14ac:dyDescent="0.25">
      <c r="A27" s="5" t="s">
        <v>231</v>
      </c>
      <c r="B27" s="5" t="s">
        <v>228</v>
      </c>
      <c r="C27" s="47">
        <v>120</v>
      </c>
      <c r="D27" s="47"/>
    </row>
    <row r="28" spans="1:6" x14ac:dyDescent="0.25">
      <c r="A28" s="5" t="s">
        <v>232</v>
      </c>
      <c r="B28" s="5" t="s">
        <v>228</v>
      </c>
      <c r="C28" s="60">
        <v>0.3</v>
      </c>
      <c r="D28" s="60"/>
    </row>
    <row r="29" spans="1:6" x14ac:dyDescent="0.25">
      <c r="A29" s="5" t="s">
        <v>233</v>
      </c>
      <c r="B29" s="5" t="s">
        <v>228</v>
      </c>
      <c r="C29" s="47">
        <v>110</v>
      </c>
      <c r="D29" s="47"/>
    </row>
    <row r="30" spans="1:6" x14ac:dyDescent="0.25">
      <c r="A30" s="56" t="s">
        <v>234</v>
      </c>
      <c r="B30" s="57"/>
      <c r="C30" s="9" t="s">
        <v>235</v>
      </c>
      <c r="D30" s="9" t="s">
        <v>236</v>
      </c>
    </row>
    <row r="31" spans="1:6" x14ac:dyDescent="0.25">
      <c r="A31" s="58"/>
      <c r="B31" s="59"/>
      <c r="C31" s="10" t="s">
        <v>237</v>
      </c>
      <c r="D31" s="10" t="s">
        <v>237</v>
      </c>
    </row>
    <row r="32" spans="1:6" x14ac:dyDescent="0.25">
      <c r="A32" s="5" t="s">
        <v>238</v>
      </c>
      <c r="B32" s="5" t="s">
        <v>239</v>
      </c>
      <c r="C32" s="11">
        <v>13000</v>
      </c>
      <c r="D32" s="11">
        <v>12000</v>
      </c>
    </row>
    <row r="33" spans="1:4" x14ac:dyDescent="0.25">
      <c r="A33" s="5" t="s">
        <v>240</v>
      </c>
      <c r="B33" s="5" t="s">
        <v>239</v>
      </c>
      <c r="C33" s="11">
        <v>5000</v>
      </c>
      <c r="D33" s="11">
        <v>5000</v>
      </c>
    </row>
    <row r="34" spans="1:4" x14ac:dyDescent="0.25">
      <c r="A34" s="5" t="s">
        <v>241</v>
      </c>
      <c r="B34" s="5" t="s">
        <v>239</v>
      </c>
      <c r="C34" s="5">
        <v>80</v>
      </c>
      <c r="D34" s="5">
        <v>80</v>
      </c>
    </row>
    <row r="35" spans="1:4" x14ac:dyDescent="0.25">
      <c r="A35" s="5" t="s">
        <v>242</v>
      </c>
      <c r="B35" s="5" t="s">
        <v>243</v>
      </c>
      <c r="C35" s="5">
        <v>3.2</v>
      </c>
      <c r="D35" s="5">
        <v>3.2</v>
      </c>
    </row>
    <row r="36" spans="1:4" x14ac:dyDescent="0.25">
      <c r="A36" s="5" t="s">
        <v>244</v>
      </c>
      <c r="B36" s="5" t="s">
        <v>243</v>
      </c>
      <c r="C36" s="5">
        <v>3.2</v>
      </c>
      <c r="D36" s="5">
        <v>3.2</v>
      </c>
    </row>
    <row r="37" spans="1:4" x14ac:dyDescent="0.25">
      <c r="A37" s="5" t="s">
        <v>245</v>
      </c>
      <c r="B37" s="5" t="s">
        <v>243</v>
      </c>
      <c r="C37" s="5">
        <v>8.6</v>
      </c>
      <c r="D37" s="5">
        <v>8.6</v>
      </c>
    </row>
    <row r="38" spans="1:4" x14ac:dyDescent="0.25">
      <c r="A38" s="5" t="s">
        <v>246</v>
      </c>
      <c r="B38" s="5" t="s">
        <v>243</v>
      </c>
      <c r="C38" s="5">
        <v>60</v>
      </c>
      <c r="D38" s="5">
        <v>65</v>
      </c>
    </row>
    <row r="39" spans="1:4" x14ac:dyDescent="0.25">
      <c r="A39" s="5" t="s">
        <v>247</v>
      </c>
      <c r="B39" s="5" t="s">
        <v>243</v>
      </c>
      <c r="C39" s="5">
        <v>17</v>
      </c>
      <c r="D39" s="5">
        <v>20</v>
      </c>
    </row>
    <row r="40" spans="1:4" x14ac:dyDescent="0.25">
      <c r="A40" s="5" t="s">
        <v>248</v>
      </c>
      <c r="B40" s="5" t="s">
        <v>243</v>
      </c>
      <c r="C40" s="5">
        <v>5.4</v>
      </c>
      <c r="D40" s="5">
        <v>4.3</v>
      </c>
    </row>
    <row r="41" spans="1:4" x14ac:dyDescent="0.25">
      <c r="A41" s="5" t="s">
        <v>249</v>
      </c>
      <c r="B41" s="5" t="s">
        <v>243</v>
      </c>
      <c r="C41" s="7">
        <v>0.3</v>
      </c>
      <c r="D41" s="5">
        <v>0.22</v>
      </c>
    </row>
    <row r="42" spans="1:4" x14ac:dyDescent="0.25">
      <c r="A42" s="5" t="s">
        <v>250</v>
      </c>
      <c r="B42" s="5" t="s">
        <v>243</v>
      </c>
      <c r="C42" s="7">
        <v>2.2000000000000002</v>
      </c>
      <c r="D42" s="7">
        <v>2.2000000000000002</v>
      </c>
    </row>
    <row r="43" spans="1:4" x14ac:dyDescent="0.25">
      <c r="A43" s="5" t="s">
        <v>251</v>
      </c>
      <c r="B43" s="5" t="s">
        <v>243</v>
      </c>
      <c r="C43" s="5">
        <v>1.7000000000000001E-2</v>
      </c>
      <c r="D43" s="5">
        <v>1.7000000000000001E-2</v>
      </c>
    </row>
    <row r="44" spans="1:4" x14ac:dyDescent="0.25">
      <c r="A44" s="47" t="s">
        <v>252</v>
      </c>
      <c r="B44" s="47"/>
      <c r="C44" s="47"/>
      <c r="D44" s="47"/>
    </row>
    <row r="45" spans="1:4" x14ac:dyDescent="0.25">
      <c r="A45" s="5" t="s">
        <v>253</v>
      </c>
      <c r="B45" s="5" t="s">
        <v>228</v>
      </c>
      <c r="C45" s="47">
        <v>1700</v>
      </c>
      <c r="D45" s="47"/>
    </row>
    <row r="46" spans="1:4" x14ac:dyDescent="0.25">
      <c r="A46" s="5" t="s">
        <v>254</v>
      </c>
      <c r="B46" s="5" t="s">
        <v>205</v>
      </c>
      <c r="C46" s="47">
        <v>1.25</v>
      </c>
      <c r="D46" s="47"/>
    </row>
  </sheetData>
  <mergeCells count="27">
    <mergeCell ref="C45:D45"/>
    <mergeCell ref="C46:D46"/>
    <mergeCell ref="C26:D26"/>
    <mergeCell ref="C27:D27"/>
    <mergeCell ref="C28:D28"/>
    <mergeCell ref="C29:D29"/>
    <mergeCell ref="A30:B31"/>
    <mergeCell ref="A44:D44"/>
    <mergeCell ref="C20:D20"/>
    <mergeCell ref="C21:D21"/>
    <mergeCell ref="C22:D22"/>
    <mergeCell ref="C24:D24"/>
    <mergeCell ref="C25:D25"/>
    <mergeCell ref="A23:D23"/>
    <mergeCell ref="A16:D16"/>
    <mergeCell ref="E2:F2"/>
    <mergeCell ref="C19:D19"/>
    <mergeCell ref="A1:B1"/>
    <mergeCell ref="C1:D1"/>
    <mergeCell ref="C2:D2"/>
    <mergeCell ref="A3:A4"/>
    <mergeCell ref="C3:D3"/>
    <mergeCell ref="C4:D4"/>
    <mergeCell ref="A5:B5"/>
    <mergeCell ref="C15:D15"/>
    <mergeCell ref="C17:D17"/>
    <mergeCell ref="C18:D18"/>
  </mergeCells>
  <phoneticPr fontId="1" type="noConversion"/>
  <pageMargins left="0.25" right="0.25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A5" sqref="A5:D14"/>
    </sheetView>
  </sheetViews>
  <sheetFormatPr defaultRowHeight="15.75" x14ac:dyDescent="0.25"/>
  <cols>
    <col min="1" max="1" width="18.5" style="4" customWidth="1"/>
    <col min="2" max="2" width="9" style="4"/>
    <col min="3" max="3" width="11.125" style="4" customWidth="1"/>
    <col min="4" max="4" width="10.875" style="4" customWidth="1"/>
    <col min="5" max="16384" width="9" style="4"/>
  </cols>
  <sheetData>
    <row r="1" spans="1:6" x14ac:dyDescent="0.25">
      <c r="A1" s="6" t="s">
        <v>255</v>
      </c>
      <c r="B1" s="6"/>
      <c r="C1" s="6" t="s">
        <v>193</v>
      </c>
      <c r="D1" s="6"/>
    </row>
    <row r="2" spans="1:6" x14ac:dyDescent="0.25">
      <c r="A2" s="5" t="s">
        <v>195</v>
      </c>
      <c r="B2" s="5" t="s">
        <v>196</v>
      </c>
      <c r="C2" s="48" t="s">
        <v>197</v>
      </c>
      <c r="D2" s="49"/>
      <c r="E2" s="48" t="s">
        <v>194</v>
      </c>
      <c r="F2" s="49"/>
    </row>
    <row r="3" spans="1:6" x14ac:dyDescent="0.25">
      <c r="A3" s="50" t="s">
        <v>198</v>
      </c>
      <c r="B3" s="5" t="s">
        <v>199</v>
      </c>
      <c r="C3" s="52">
        <v>3000</v>
      </c>
      <c r="D3" s="53"/>
    </row>
    <row r="4" spans="1:6" x14ac:dyDescent="0.25">
      <c r="A4" s="51"/>
      <c r="B4" s="5" t="s">
        <v>200</v>
      </c>
      <c r="C4" s="48">
        <v>12.55</v>
      </c>
      <c r="D4" s="49"/>
    </row>
    <row r="5" spans="1:6" x14ac:dyDescent="0.25">
      <c r="A5" s="47" t="s">
        <v>201</v>
      </c>
      <c r="B5" s="47"/>
      <c r="C5" s="5" t="s">
        <v>202</v>
      </c>
      <c r="D5" s="5" t="s">
        <v>203</v>
      </c>
    </row>
    <row r="6" spans="1:6" x14ac:dyDescent="0.25">
      <c r="A6" s="5" t="s">
        <v>204</v>
      </c>
      <c r="B6" s="5" t="s">
        <v>205</v>
      </c>
      <c r="C6" s="5">
        <v>1.44</v>
      </c>
      <c r="D6" s="5">
        <v>1.28</v>
      </c>
    </row>
    <row r="7" spans="1:6" x14ac:dyDescent="0.25">
      <c r="A7" s="5" t="s">
        <v>206</v>
      </c>
      <c r="B7" s="5" t="s">
        <v>205</v>
      </c>
      <c r="C7" s="5">
        <v>1.08</v>
      </c>
      <c r="D7" s="5">
        <v>0.95</v>
      </c>
    </row>
    <row r="8" spans="1:6" x14ac:dyDescent="0.25">
      <c r="A8" s="5" t="s">
        <v>207</v>
      </c>
      <c r="B8" s="5" t="s">
        <v>205</v>
      </c>
      <c r="C8" s="5">
        <v>0.56000000000000005</v>
      </c>
      <c r="D8" s="5">
        <v>0.51</v>
      </c>
    </row>
    <row r="9" spans="1:6" x14ac:dyDescent="0.25">
      <c r="A9" s="5" t="s">
        <v>208</v>
      </c>
      <c r="B9" s="5" t="s">
        <v>205</v>
      </c>
      <c r="C9" s="5">
        <v>0.97</v>
      </c>
      <c r="D9" s="5">
        <v>0.86</v>
      </c>
    </row>
    <row r="10" spans="1:6" x14ac:dyDescent="0.25">
      <c r="A10" s="5" t="s">
        <v>209</v>
      </c>
      <c r="B10" s="5" t="s">
        <v>205</v>
      </c>
      <c r="C10" s="7">
        <v>1.1000000000000001</v>
      </c>
      <c r="D10" s="5">
        <v>0.96</v>
      </c>
    </row>
    <row r="11" spans="1:6" x14ac:dyDescent="0.25">
      <c r="A11" s="5" t="s">
        <v>210</v>
      </c>
      <c r="B11" s="5" t="s">
        <v>205</v>
      </c>
      <c r="C11" s="5">
        <v>0.97</v>
      </c>
      <c r="D11" s="5">
        <v>0.86</v>
      </c>
    </row>
    <row r="12" spans="1:6" x14ac:dyDescent="0.25">
      <c r="A12" s="5" t="s">
        <v>211</v>
      </c>
      <c r="B12" s="5" t="s">
        <v>205</v>
      </c>
      <c r="C12" s="5">
        <v>1.52</v>
      </c>
      <c r="D12" s="5">
        <v>1.37</v>
      </c>
    </row>
    <row r="13" spans="1:6" x14ac:dyDescent="0.25">
      <c r="A13" s="5" t="s">
        <v>212</v>
      </c>
      <c r="B13" s="5" t="s">
        <v>205</v>
      </c>
      <c r="C13" s="5">
        <v>0.23</v>
      </c>
      <c r="D13" s="7">
        <v>0.2</v>
      </c>
    </row>
    <row r="14" spans="1:6" x14ac:dyDescent="0.25">
      <c r="A14" s="5" t="s">
        <v>213</v>
      </c>
      <c r="B14" s="5" t="s">
        <v>205</v>
      </c>
      <c r="C14" s="5">
        <v>1.58</v>
      </c>
      <c r="D14" s="5">
        <v>1.41</v>
      </c>
    </row>
    <row r="15" spans="1:6" x14ac:dyDescent="0.25">
      <c r="A15" s="5" t="s">
        <v>214</v>
      </c>
      <c r="B15" s="5" t="s">
        <v>215</v>
      </c>
      <c r="C15" s="54">
        <v>23</v>
      </c>
      <c r="D15" s="54"/>
    </row>
    <row r="16" spans="1:6" x14ac:dyDescent="0.25">
      <c r="A16" s="47" t="s">
        <v>216</v>
      </c>
      <c r="B16" s="47"/>
      <c r="C16" s="47"/>
      <c r="D16" s="47"/>
    </row>
    <row r="17" spans="1:4" x14ac:dyDescent="0.25">
      <c r="A17" s="5" t="s">
        <v>217</v>
      </c>
      <c r="B17" s="5" t="s">
        <v>215</v>
      </c>
      <c r="C17" s="47">
        <v>0.96</v>
      </c>
      <c r="D17" s="47"/>
    </row>
    <row r="18" spans="1:4" x14ac:dyDescent="0.25">
      <c r="A18" s="5" t="s">
        <v>218</v>
      </c>
      <c r="B18" s="5" t="s">
        <v>215</v>
      </c>
      <c r="C18" s="55">
        <v>0.48</v>
      </c>
      <c r="D18" s="55"/>
    </row>
    <row r="19" spans="1:4" x14ac:dyDescent="0.25">
      <c r="A19" s="5" t="s">
        <v>219</v>
      </c>
      <c r="B19" s="5" t="s">
        <v>215</v>
      </c>
      <c r="C19" s="47" t="s">
        <v>220</v>
      </c>
      <c r="D19" s="47"/>
    </row>
    <row r="20" spans="1:4" x14ac:dyDescent="0.25">
      <c r="A20" s="5" t="s">
        <v>221</v>
      </c>
      <c r="B20" s="5" t="s">
        <v>215</v>
      </c>
      <c r="C20" s="47" t="s">
        <v>222</v>
      </c>
      <c r="D20" s="47"/>
    </row>
    <row r="21" spans="1:4" x14ac:dyDescent="0.25">
      <c r="A21" s="5" t="s">
        <v>223</v>
      </c>
      <c r="B21" s="5" t="s">
        <v>215</v>
      </c>
      <c r="C21" s="47" t="s">
        <v>222</v>
      </c>
      <c r="D21" s="47"/>
    </row>
    <row r="22" spans="1:4" x14ac:dyDescent="0.25">
      <c r="A22" s="5" t="s">
        <v>224</v>
      </c>
      <c r="B22" s="5" t="s">
        <v>215</v>
      </c>
      <c r="C22" s="47" t="s">
        <v>225</v>
      </c>
      <c r="D22" s="47"/>
    </row>
    <row r="23" spans="1:4" x14ac:dyDescent="0.25">
      <c r="A23" s="47" t="s">
        <v>226</v>
      </c>
      <c r="B23" s="47"/>
      <c r="C23" s="47"/>
      <c r="D23" s="47"/>
    </row>
    <row r="24" spans="1:4" x14ac:dyDescent="0.25">
      <c r="A24" s="5" t="s">
        <v>227</v>
      </c>
      <c r="B24" s="5" t="s">
        <v>228</v>
      </c>
      <c r="C24" s="47">
        <v>16</v>
      </c>
      <c r="D24" s="47"/>
    </row>
    <row r="25" spans="1:4" x14ac:dyDescent="0.25">
      <c r="A25" s="5" t="s">
        <v>229</v>
      </c>
      <c r="B25" s="5" t="s">
        <v>228</v>
      </c>
      <c r="C25" s="47">
        <v>1.25</v>
      </c>
      <c r="D25" s="47"/>
    </row>
    <row r="26" spans="1:4" x14ac:dyDescent="0.25">
      <c r="A26" s="5" t="s">
        <v>230</v>
      </c>
      <c r="B26" s="5" t="s">
        <v>228</v>
      </c>
      <c r="C26" s="47">
        <v>20</v>
      </c>
      <c r="D26" s="47"/>
    </row>
    <row r="27" spans="1:4" x14ac:dyDescent="0.25">
      <c r="A27" s="5" t="s">
        <v>231</v>
      </c>
      <c r="B27" s="5" t="s">
        <v>228</v>
      </c>
      <c r="C27" s="47">
        <v>120</v>
      </c>
      <c r="D27" s="47"/>
    </row>
    <row r="28" spans="1:4" x14ac:dyDescent="0.25">
      <c r="A28" s="5" t="s">
        <v>232</v>
      </c>
      <c r="B28" s="5" t="s">
        <v>228</v>
      </c>
      <c r="C28" s="60">
        <v>0.3</v>
      </c>
      <c r="D28" s="60"/>
    </row>
    <row r="29" spans="1:4" x14ac:dyDescent="0.25">
      <c r="A29" s="5" t="s">
        <v>233</v>
      </c>
      <c r="B29" s="5" t="s">
        <v>228</v>
      </c>
      <c r="C29" s="47">
        <v>110</v>
      </c>
      <c r="D29" s="47"/>
    </row>
    <row r="30" spans="1:4" x14ac:dyDescent="0.25">
      <c r="A30" s="56" t="s">
        <v>234</v>
      </c>
      <c r="B30" s="57"/>
      <c r="C30" s="9" t="s">
        <v>235</v>
      </c>
      <c r="D30" s="9" t="s">
        <v>236</v>
      </c>
    </row>
    <row r="31" spans="1:4" x14ac:dyDescent="0.25">
      <c r="A31" s="58"/>
      <c r="B31" s="59"/>
      <c r="C31" s="10" t="s">
        <v>237</v>
      </c>
      <c r="D31" s="10" t="s">
        <v>237</v>
      </c>
    </row>
    <row r="32" spans="1:4" x14ac:dyDescent="0.25">
      <c r="A32" s="5" t="s">
        <v>238</v>
      </c>
      <c r="B32" s="5" t="s">
        <v>239</v>
      </c>
      <c r="C32" s="11">
        <v>13000</v>
      </c>
      <c r="D32" s="11">
        <v>12000</v>
      </c>
    </row>
    <row r="33" spans="1:4" x14ac:dyDescent="0.25">
      <c r="A33" s="5" t="s">
        <v>240</v>
      </c>
      <c r="B33" s="5" t="s">
        <v>239</v>
      </c>
      <c r="C33" s="11">
        <v>5000</v>
      </c>
      <c r="D33" s="11">
        <v>5000</v>
      </c>
    </row>
    <row r="34" spans="1:4" x14ac:dyDescent="0.25">
      <c r="A34" s="5" t="s">
        <v>241</v>
      </c>
      <c r="B34" s="5" t="s">
        <v>239</v>
      </c>
      <c r="C34" s="5">
        <v>80</v>
      </c>
      <c r="D34" s="5">
        <v>80</v>
      </c>
    </row>
    <row r="35" spans="1:4" x14ac:dyDescent="0.25">
      <c r="A35" s="5" t="s">
        <v>242</v>
      </c>
      <c r="B35" s="5" t="s">
        <v>243</v>
      </c>
      <c r="C35" s="5">
        <v>3.2</v>
      </c>
      <c r="D35" s="5">
        <v>3.2</v>
      </c>
    </row>
    <row r="36" spans="1:4" x14ac:dyDescent="0.25">
      <c r="A36" s="5" t="s">
        <v>244</v>
      </c>
      <c r="B36" s="5" t="s">
        <v>243</v>
      </c>
      <c r="C36" s="5">
        <v>3.2</v>
      </c>
      <c r="D36" s="5">
        <v>3.2</v>
      </c>
    </row>
    <row r="37" spans="1:4" x14ac:dyDescent="0.25">
      <c r="A37" s="5" t="s">
        <v>245</v>
      </c>
      <c r="B37" s="5" t="s">
        <v>243</v>
      </c>
      <c r="C37" s="5">
        <v>8.6</v>
      </c>
      <c r="D37" s="5">
        <v>8.6</v>
      </c>
    </row>
    <row r="38" spans="1:4" x14ac:dyDescent="0.25">
      <c r="A38" s="5" t="s">
        <v>246</v>
      </c>
      <c r="B38" s="5" t="s">
        <v>243</v>
      </c>
      <c r="C38" s="5">
        <v>60</v>
      </c>
      <c r="D38" s="5">
        <v>65</v>
      </c>
    </row>
    <row r="39" spans="1:4" x14ac:dyDescent="0.25">
      <c r="A39" s="5" t="s">
        <v>247</v>
      </c>
      <c r="B39" s="5" t="s">
        <v>243</v>
      </c>
      <c r="C39" s="5">
        <v>17</v>
      </c>
      <c r="D39" s="5">
        <v>20</v>
      </c>
    </row>
    <row r="40" spans="1:4" x14ac:dyDescent="0.25">
      <c r="A40" s="5" t="s">
        <v>248</v>
      </c>
      <c r="B40" s="5" t="s">
        <v>243</v>
      </c>
      <c r="C40" s="5">
        <v>5.4</v>
      </c>
      <c r="D40" s="5">
        <v>4.3</v>
      </c>
    </row>
    <row r="41" spans="1:4" x14ac:dyDescent="0.25">
      <c r="A41" s="5" t="s">
        <v>249</v>
      </c>
      <c r="B41" s="5" t="s">
        <v>243</v>
      </c>
      <c r="C41" s="7">
        <v>0.3</v>
      </c>
      <c r="D41" s="5">
        <v>0.22</v>
      </c>
    </row>
    <row r="42" spans="1:4" x14ac:dyDescent="0.25">
      <c r="A42" s="5" t="s">
        <v>250</v>
      </c>
      <c r="B42" s="5" t="s">
        <v>243</v>
      </c>
      <c r="C42" s="7">
        <v>2.2000000000000002</v>
      </c>
      <c r="D42" s="7">
        <v>2.2000000000000002</v>
      </c>
    </row>
    <row r="43" spans="1:4" x14ac:dyDescent="0.25">
      <c r="A43" s="5" t="s">
        <v>251</v>
      </c>
      <c r="B43" s="5" t="s">
        <v>243</v>
      </c>
      <c r="C43" s="5">
        <v>1.7000000000000001E-2</v>
      </c>
      <c r="D43" s="5">
        <v>1.7000000000000001E-2</v>
      </c>
    </row>
    <row r="44" spans="1:4" x14ac:dyDescent="0.25">
      <c r="A44" s="47" t="s">
        <v>252</v>
      </c>
      <c r="B44" s="47"/>
      <c r="C44" s="47"/>
      <c r="D44" s="47"/>
    </row>
    <row r="45" spans="1:4" x14ac:dyDescent="0.25">
      <c r="A45" s="5" t="s">
        <v>253</v>
      </c>
      <c r="B45" s="5" t="s">
        <v>228</v>
      </c>
      <c r="C45" s="47">
        <v>1700</v>
      </c>
      <c r="D45" s="47"/>
    </row>
    <row r="46" spans="1:4" x14ac:dyDescent="0.25">
      <c r="A46" s="5" t="s">
        <v>254</v>
      </c>
      <c r="B46" s="5" t="s">
        <v>205</v>
      </c>
      <c r="C46" s="47">
        <v>1.25</v>
      </c>
      <c r="D46" s="47"/>
    </row>
  </sheetData>
  <mergeCells count="25">
    <mergeCell ref="C46:D46"/>
    <mergeCell ref="C27:D27"/>
    <mergeCell ref="C28:D28"/>
    <mergeCell ref="C29:D29"/>
    <mergeCell ref="A30:B31"/>
    <mergeCell ref="A44:D44"/>
    <mergeCell ref="C45:D45"/>
    <mergeCell ref="C26:D26"/>
    <mergeCell ref="C15:D15"/>
    <mergeCell ref="A16:D16"/>
    <mergeCell ref="C17:D17"/>
    <mergeCell ref="C18:D18"/>
    <mergeCell ref="C19:D19"/>
    <mergeCell ref="C20:D20"/>
    <mergeCell ref="C21:D21"/>
    <mergeCell ref="C22:D22"/>
    <mergeCell ref="A23:D23"/>
    <mergeCell ref="C24:D24"/>
    <mergeCell ref="C25:D25"/>
    <mergeCell ref="A5:B5"/>
    <mergeCell ref="E2:F2"/>
    <mergeCell ref="C2:D2"/>
    <mergeCell ref="A3:A4"/>
    <mergeCell ref="C3:D3"/>
    <mergeCell ref="C4:D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F6" sqref="F6"/>
    </sheetView>
  </sheetViews>
  <sheetFormatPr defaultRowHeight="15.75" x14ac:dyDescent="0.25"/>
  <cols>
    <col min="1" max="1" width="9" style="4"/>
    <col min="2" max="2" width="14.5" style="4" customWidth="1"/>
    <col min="3" max="3" width="9" style="4"/>
    <col min="4" max="4" width="11.875" style="4" customWidth="1"/>
    <col min="5" max="16384" width="9" style="4"/>
  </cols>
  <sheetData>
    <row r="1" spans="1:9" x14ac:dyDescent="0.25">
      <c r="A1" s="47" t="s">
        <v>256</v>
      </c>
      <c r="B1" s="48"/>
      <c r="C1" s="61"/>
      <c r="D1" s="49"/>
      <c r="E1" s="1"/>
      <c r="F1" s="1"/>
    </row>
    <row r="2" spans="1:9" x14ac:dyDescent="0.25">
      <c r="A2" s="48"/>
      <c r="B2" s="61"/>
      <c r="C2" s="49"/>
      <c r="D2" s="5" t="s">
        <v>257</v>
      </c>
      <c r="E2" s="1"/>
      <c r="F2" s="1"/>
    </row>
    <row r="3" spans="1:9" x14ac:dyDescent="0.25">
      <c r="A3" s="47" t="s">
        <v>258</v>
      </c>
      <c r="B3" s="47"/>
      <c r="C3" s="47"/>
      <c r="D3" s="5" t="s">
        <v>259</v>
      </c>
      <c r="E3" s="1"/>
      <c r="F3" s="1"/>
    </row>
    <row r="4" spans="1:9" x14ac:dyDescent="0.25">
      <c r="A4" s="47" t="s">
        <v>260</v>
      </c>
      <c r="B4" s="47"/>
      <c r="C4" s="47"/>
      <c r="D4" s="5" t="s">
        <v>261</v>
      </c>
      <c r="E4" s="1"/>
      <c r="F4" s="1"/>
    </row>
    <row r="5" spans="1:9" x14ac:dyDescent="0.25">
      <c r="A5" s="47" t="s">
        <v>262</v>
      </c>
      <c r="B5" s="47"/>
      <c r="C5" s="47"/>
      <c r="D5" s="5" t="s">
        <v>263</v>
      </c>
      <c r="E5" s="1"/>
      <c r="F5" s="1"/>
    </row>
    <row r="6" spans="1:9" x14ac:dyDescent="0.25">
      <c r="A6" s="47" t="s">
        <v>214</v>
      </c>
      <c r="B6" s="47"/>
      <c r="C6" s="5" t="s">
        <v>215</v>
      </c>
      <c r="D6" s="12" t="s">
        <v>264</v>
      </c>
      <c r="E6" s="1"/>
      <c r="F6" s="1"/>
      <c r="I6" s="1"/>
    </row>
    <row r="7" spans="1:9" x14ac:dyDescent="0.25">
      <c r="A7" s="56" t="s">
        <v>265</v>
      </c>
      <c r="B7" s="57"/>
      <c r="C7" s="5" t="s">
        <v>266</v>
      </c>
      <c r="D7" s="5">
        <v>12.45</v>
      </c>
      <c r="E7" s="1"/>
      <c r="F7" s="1"/>
    </row>
    <row r="8" spans="1:9" x14ac:dyDescent="0.25">
      <c r="A8" s="62"/>
      <c r="B8" s="63"/>
      <c r="C8" s="5" t="s">
        <v>267</v>
      </c>
      <c r="D8" s="11">
        <v>2975</v>
      </c>
      <c r="E8" s="1"/>
      <c r="F8" s="1"/>
    </row>
    <row r="9" spans="1:9" x14ac:dyDescent="0.25">
      <c r="A9" s="58"/>
      <c r="B9" s="59"/>
      <c r="C9" s="5" t="s">
        <v>268</v>
      </c>
      <c r="D9" s="11">
        <v>1349</v>
      </c>
      <c r="E9" s="1"/>
      <c r="F9" s="1"/>
    </row>
    <row r="10" spans="1:9" x14ac:dyDescent="0.25">
      <c r="A10" s="47" t="s">
        <v>269</v>
      </c>
      <c r="B10" s="47"/>
      <c r="C10" s="5" t="s">
        <v>270</v>
      </c>
      <c r="D10" s="5">
        <v>1.22</v>
      </c>
      <c r="E10" s="1"/>
      <c r="F10" s="1"/>
    </row>
    <row r="11" spans="1:9" x14ac:dyDescent="0.25">
      <c r="A11" s="47" t="s">
        <v>271</v>
      </c>
      <c r="B11" s="47"/>
      <c r="C11" s="5" t="s">
        <v>270</v>
      </c>
      <c r="D11" s="5">
        <v>0.46</v>
      </c>
      <c r="E11" s="1"/>
      <c r="F11" s="1"/>
    </row>
    <row r="12" spans="1:9" x14ac:dyDescent="0.25">
      <c r="A12" s="47" t="s">
        <v>272</v>
      </c>
      <c r="B12" s="47"/>
      <c r="C12" s="5" t="s">
        <v>270</v>
      </c>
      <c r="D12" s="5">
        <v>0.91</v>
      </c>
      <c r="E12" s="1"/>
      <c r="F12" s="1"/>
    </row>
    <row r="13" spans="1:9" x14ac:dyDescent="0.25">
      <c r="A13" s="47" t="s">
        <v>273</v>
      </c>
      <c r="B13" s="47"/>
      <c r="C13" s="5" t="s">
        <v>270</v>
      </c>
      <c r="D13" s="7">
        <v>0.2</v>
      </c>
      <c r="E13" s="1"/>
      <c r="F13" s="1"/>
    </row>
    <row r="14" spans="1:9" x14ac:dyDescent="0.25">
      <c r="A14" s="47" t="s">
        <v>274</v>
      </c>
      <c r="B14" s="47"/>
      <c r="C14" s="5" t="s">
        <v>270</v>
      </c>
      <c r="D14" s="5">
        <v>0.83</v>
      </c>
      <c r="E14" s="1"/>
      <c r="F14" s="1"/>
    </row>
    <row r="15" spans="1:9" x14ac:dyDescent="0.25">
      <c r="A15" s="47" t="s">
        <v>275</v>
      </c>
      <c r="B15" s="47"/>
      <c r="C15" s="5" t="s">
        <v>270</v>
      </c>
      <c r="D15" s="5">
        <v>1.28</v>
      </c>
      <c r="E15" s="1"/>
      <c r="F15" s="1"/>
    </row>
    <row r="16" spans="1:9" x14ac:dyDescent="0.25">
      <c r="A16" s="47" t="s">
        <v>276</v>
      </c>
      <c r="B16" s="47"/>
      <c r="C16" s="5" t="s">
        <v>270</v>
      </c>
      <c r="D16" s="5">
        <v>0.89</v>
      </c>
      <c r="E16" s="1"/>
      <c r="F16" s="1"/>
    </row>
    <row r="17" spans="1:6" x14ac:dyDescent="0.25">
      <c r="A17" s="47" t="s">
        <v>277</v>
      </c>
      <c r="B17" s="47"/>
      <c r="C17" s="5" t="s">
        <v>270</v>
      </c>
      <c r="D17" s="5">
        <v>0.77</v>
      </c>
      <c r="E17" s="1"/>
      <c r="F17" s="1"/>
    </row>
    <row r="18" spans="1:6" x14ac:dyDescent="0.25">
      <c r="A18" s="47" t="s">
        <v>217</v>
      </c>
      <c r="B18" s="47"/>
      <c r="C18" s="5" t="s">
        <v>270</v>
      </c>
      <c r="D18" s="7">
        <v>0.9</v>
      </c>
      <c r="E18" s="1"/>
      <c r="F18" s="1"/>
    </row>
    <row r="19" spans="1:6" x14ac:dyDescent="0.25">
      <c r="A19" s="47" t="s">
        <v>218</v>
      </c>
      <c r="B19" s="47"/>
      <c r="C19" s="5" t="s">
        <v>270</v>
      </c>
      <c r="D19" s="5">
        <v>0.45</v>
      </c>
      <c r="E19" s="1"/>
      <c r="F19" s="1"/>
    </row>
    <row r="20" spans="1:6" x14ac:dyDescent="0.25">
      <c r="A20" s="47" t="s">
        <v>221</v>
      </c>
      <c r="B20" s="47"/>
      <c r="C20" s="5" t="s">
        <v>270</v>
      </c>
      <c r="D20" s="5" t="s">
        <v>222</v>
      </c>
      <c r="E20" s="1"/>
      <c r="F20" s="1"/>
    </row>
    <row r="21" spans="1:6" x14ac:dyDescent="0.25">
      <c r="A21" s="47" t="s">
        <v>278</v>
      </c>
      <c r="B21" s="47"/>
      <c r="C21" s="5" t="s">
        <v>270</v>
      </c>
      <c r="D21" s="5" t="s">
        <v>279</v>
      </c>
      <c r="E21" s="1"/>
      <c r="F21" s="1"/>
    </row>
    <row r="22" spans="1:6" x14ac:dyDescent="0.25">
      <c r="A22" s="47" t="s">
        <v>224</v>
      </c>
      <c r="B22" s="47"/>
      <c r="C22" s="5" t="s">
        <v>270</v>
      </c>
      <c r="D22" s="5" t="s">
        <v>280</v>
      </c>
      <c r="E22" s="1"/>
      <c r="F22" s="1"/>
    </row>
    <row r="23" spans="1:6" x14ac:dyDescent="0.25">
      <c r="A23" s="47" t="s">
        <v>281</v>
      </c>
      <c r="B23" s="47"/>
      <c r="C23" s="5" t="s">
        <v>270</v>
      </c>
      <c r="D23" s="7">
        <v>1</v>
      </c>
      <c r="E23" s="1"/>
      <c r="F23" s="1"/>
    </row>
    <row r="24" spans="1:6" x14ac:dyDescent="0.25">
      <c r="A24" s="47" t="s">
        <v>282</v>
      </c>
      <c r="B24" s="47"/>
      <c r="C24" s="47"/>
      <c r="D24" s="47"/>
      <c r="E24" s="1"/>
      <c r="F24" s="1"/>
    </row>
    <row r="25" spans="1:6" x14ac:dyDescent="0.25">
      <c r="A25" s="47" t="s">
        <v>283</v>
      </c>
      <c r="B25" s="47"/>
      <c r="C25" s="5" t="s">
        <v>284</v>
      </c>
      <c r="D25" s="13" t="s">
        <v>285</v>
      </c>
      <c r="E25" s="1"/>
      <c r="F25" s="1"/>
    </row>
    <row r="26" spans="1:6" x14ac:dyDescent="0.25">
      <c r="A26" s="47" t="s">
        <v>240</v>
      </c>
      <c r="B26" s="47"/>
      <c r="C26" s="5" t="s">
        <v>284</v>
      </c>
      <c r="D26" s="5">
        <v>5</v>
      </c>
      <c r="E26" s="1"/>
      <c r="F26" s="1"/>
    </row>
    <row r="27" spans="1:6" x14ac:dyDescent="0.25">
      <c r="A27" s="47" t="s">
        <v>286</v>
      </c>
      <c r="B27" s="47"/>
      <c r="C27" s="5" t="s">
        <v>284</v>
      </c>
      <c r="D27" s="5">
        <v>80</v>
      </c>
      <c r="E27" s="1"/>
      <c r="F27" s="1"/>
    </row>
    <row r="28" spans="1:6" x14ac:dyDescent="0.25">
      <c r="A28" s="47" t="s">
        <v>287</v>
      </c>
      <c r="B28" s="47"/>
      <c r="C28" s="5" t="s">
        <v>288</v>
      </c>
      <c r="D28" s="5">
        <v>3</v>
      </c>
      <c r="E28" s="1"/>
      <c r="F28" s="1"/>
    </row>
    <row r="29" spans="1:6" x14ac:dyDescent="0.25">
      <c r="A29" s="47" t="s">
        <v>289</v>
      </c>
      <c r="B29" s="47"/>
      <c r="C29" s="5" t="s">
        <v>288</v>
      </c>
      <c r="D29" s="5">
        <v>3</v>
      </c>
      <c r="E29" s="1"/>
      <c r="F29" s="1"/>
    </row>
    <row r="30" spans="1:6" x14ac:dyDescent="0.25">
      <c r="A30" s="47" t="s">
        <v>290</v>
      </c>
      <c r="B30" s="47"/>
      <c r="C30" s="5" t="s">
        <v>288</v>
      </c>
      <c r="D30" s="5">
        <v>9</v>
      </c>
      <c r="E30" s="1"/>
      <c r="F30" s="1"/>
    </row>
    <row r="31" spans="1:6" x14ac:dyDescent="0.25">
      <c r="A31" s="47" t="s">
        <v>291</v>
      </c>
      <c r="B31" s="47"/>
      <c r="C31" s="5" t="s">
        <v>288</v>
      </c>
      <c r="D31" s="5">
        <v>4</v>
      </c>
      <c r="E31" s="1"/>
      <c r="F31" s="1"/>
    </row>
    <row r="32" spans="1:6" x14ac:dyDescent="0.25">
      <c r="A32" s="47" t="s">
        <v>292</v>
      </c>
      <c r="B32" s="47"/>
      <c r="C32" s="5" t="s">
        <v>243</v>
      </c>
      <c r="D32" s="5">
        <v>20</v>
      </c>
      <c r="E32" s="1"/>
      <c r="F32" s="1"/>
    </row>
    <row r="33" spans="1:6" x14ac:dyDescent="0.25">
      <c r="A33" s="47" t="s">
        <v>293</v>
      </c>
      <c r="B33" s="47"/>
      <c r="C33" s="5" t="s">
        <v>243</v>
      </c>
      <c r="D33" s="5">
        <v>150</v>
      </c>
      <c r="E33" s="1"/>
      <c r="F33" s="1"/>
    </row>
    <row r="34" spans="1:6" x14ac:dyDescent="0.25">
      <c r="A34" s="47" t="s">
        <v>294</v>
      </c>
      <c r="B34" s="47"/>
      <c r="C34" s="5" t="s">
        <v>243</v>
      </c>
      <c r="D34" s="5">
        <v>200</v>
      </c>
      <c r="E34" s="1"/>
      <c r="F34" s="1"/>
    </row>
    <row r="35" spans="1:6" x14ac:dyDescent="0.25">
      <c r="A35" s="47" t="s">
        <v>295</v>
      </c>
      <c r="B35" s="47"/>
      <c r="C35" s="5" t="s">
        <v>288</v>
      </c>
      <c r="D35" s="5">
        <v>500</v>
      </c>
      <c r="E35" s="1"/>
      <c r="F35" s="1"/>
    </row>
    <row r="36" spans="1:6" x14ac:dyDescent="0.25">
      <c r="A36" s="47" t="s">
        <v>296</v>
      </c>
      <c r="B36" s="47"/>
      <c r="C36" s="5" t="s">
        <v>288</v>
      </c>
      <c r="D36" s="5">
        <v>2</v>
      </c>
      <c r="E36" s="1"/>
      <c r="F36" s="1"/>
    </row>
    <row r="37" spans="1:6" x14ac:dyDescent="0.25">
      <c r="A37" s="47" t="s">
        <v>297</v>
      </c>
      <c r="B37" s="47"/>
      <c r="C37" s="5" t="s">
        <v>288</v>
      </c>
      <c r="D37" s="5">
        <v>60</v>
      </c>
      <c r="E37" s="1"/>
      <c r="F37" s="1"/>
    </row>
    <row r="38" spans="1:6" x14ac:dyDescent="0.25">
      <c r="A38" s="47" t="s">
        <v>298</v>
      </c>
      <c r="B38" s="47"/>
      <c r="C38" s="5" t="s">
        <v>288</v>
      </c>
      <c r="D38" s="5">
        <v>15</v>
      </c>
      <c r="E38" s="1"/>
      <c r="F38" s="1"/>
    </row>
    <row r="39" spans="1:6" x14ac:dyDescent="0.25">
      <c r="A39" s="47" t="s">
        <v>231</v>
      </c>
      <c r="B39" s="47"/>
      <c r="C39" s="5" t="s">
        <v>288</v>
      </c>
      <c r="D39" s="5">
        <v>100</v>
      </c>
      <c r="E39" s="1"/>
      <c r="F39" s="1"/>
    </row>
    <row r="40" spans="1:6" x14ac:dyDescent="0.25">
      <c r="A40" s="47" t="s">
        <v>233</v>
      </c>
      <c r="B40" s="47"/>
      <c r="C40" s="5" t="s">
        <v>288</v>
      </c>
      <c r="D40" s="5">
        <v>100</v>
      </c>
      <c r="E40" s="1"/>
      <c r="F40" s="1"/>
    </row>
    <row r="41" spans="1:6" x14ac:dyDescent="0.25">
      <c r="A41" s="47" t="s">
        <v>230</v>
      </c>
      <c r="B41" s="47"/>
      <c r="C41" s="5" t="s">
        <v>288</v>
      </c>
      <c r="D41" s="5">
        <v>40</v>
      </c>
      <c r="E41" s="1"/>
      <c r="F41" s="1"/>
    </row>
    <row r="42" spans="1:6" x14ac:dyDescent="0.25">
      <c r="A42" s="47" t="s">
        <v>227</v>
      </c>
      <c r="B42" s="47"/>
      <c r="C42" s="5" t="s">
        <v>288</v>
      </c>
      <c r="D42" s="5">
        <v>15</v>
      </c>
      <c r="E42" s="1"/>
      <c r="F42" s="1"/>
    </row>
    <row r="43" spans="1:6" x14ac:dyDescent="0.25">
      <c r="A43" s="47" t="s">
        <v>229</v>
      </c>
      <c r="B43" s="47"/>
      <c r="C43" s="5" t="s">
        <v>288</v>
      </c>
      <c r="D43" s="5">
        <v>1</v>
      </c>
      <c r="E43" s="1"/>
      <c r="F43" s="1"/>
    </row>
    <row r="44" spans="1:6" x14ac:dyDescent="0.25">
      <c r="A44" s="47" t="s">
        <v>232</v>
      </c>
      <c r="B44" s="47"/>
      <c r="C44" s="5" t="s">
        <v>288</v>
      </c>
      <c r="D44" s="5">
        <v>0.35</v>
      </c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</row>
  </sheetData>
  <mergeCells count="43">
    <mergeCell ref="A44:B44"/>
    <mergeCell ref="A38:B38"/>
    <mergeCell ref="A39:B39"/>
    <mergeCell ref="A40:B40"/>
    <mergeCell ref="A41:B41"/>
    <mergeCell ref="A42:B42"/>
    <mergeCell ref="A43:B43"/>
    <mergeCell ref="A37:B37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25:B25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D24"/>
    <mergeCell ref="A13:B13"/>
    <mergeCell ref="A1:B1"/>
    <mergeCell ref="C1:D1"/>
    <mergeCell ref="A2:C2"/>
    <mergeCell ref="A3:C3"/>
    <mergeCell ref="A4:C4"/>
    <mergeCell ref="A5:C5"/>
    <mergeCell ref="A6:B6"/>
    <mergeCell ref="A7:B9"/>
    <mergeCell ref="A10:B10"/>
    <mergeCell ref="A11:B1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sample</vt:lpstr>
      <vt:lpstr>ex0</vt:lpstr>
      <vt:lpstr>Feed stuff</vt:lpstr>
      <vt:lpstr>NRC</vt:lpstr>
      <vt:lpstr>feedstuff2016</vt:lpstr>
      <vt:lpstr>Ross 308(2019)</vt:lpstr>
      <vt:lpstr>AA(2019)</vt:lpstr>
      <vt:lpstr>Cobb 500(2018)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王建智</cp:lastModifiedBy>
  <cp:lastPrinted>2019-12-22T16:02:14Z</cp:lastPrinted>
  <dcterms:created xsi:type="dcterms:W3CDTF">2019-10-21T06:09:28Z</dcterms:created>
  <dcterms:modified xsi:type="dcterms:W3CDTF">2024-05-27T06:59:08Z</dcterms:modified>
</cp:coreProperties>
</file>