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embeddings/oleObject8.bin" ContentType="application/vnd.openxmlformats-officedocument.oleObject"/>
  <Override PartName="/xl/embeddings/oleObject14.bin" ContentType="application/vnd.openxmlformats-officedocument.oleObject"/>
  <Override PartName="/xl/embeddings/oleObject43.bin" ContentType="application/vnd.openxmlformats-officedocument.oleObject"/>
  <Override PartName="/xl/embeddings/oleObject61.bin" ContentType="application/vnd.openxmlformats-officedocument.oleObject"/>
  <Override PartName="/xl/worksheets/sheet13.xml" ContentType="application/vnd.openxmlformats-officedocument.spreadsheetml.worksheet+xml"/>
  <Override PartName="/xl/styles.xml" ContentType="application/vnd.openxmlformats-officedocument.spreadsheetml.styles+xml"/>
  <Override PartName="/xl/embeddings/oleObject21.bin" ContentType="application/vnd.openxmlformats-officedocument.oleObject"/>
  <Override PartName="/xl/drawings/drawing6.xml" ContentType="application/vnd.openxmlformats-officedocument.drawing+xml"/>
  <Override PartName="/xl/embeddings/oleObject32.bin" ContentType="application/vnd.openxmlformats-officedocument.oleObject"/>
  <Override PartName="/xl/comments8.xml" ContentType="application/vnd.openxmlformats-officedocument.spreadsheetml.comments+xml"/>
  <Override PartName="/xl/embeddings/oleObject50.bin" ContentType="application/vnd.openxmlformats-officedocument.oleObject"/>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embeddings/oleObject4.bin" ContentType="application/vnd.openxmlformats-officedocument.oleObject"/>
  <Override PartName="/xl/embeddings/oleObject10.bin" ContentType="application/vnd.openxmlformats-officedocument.oleObject"/>
  <Override PartName="/xl/drawings/drawing17.xml" ContentType="application/vnd.openxmlformats-officedocument.drawing+xml"/>
  <Override PartName="/xl/drawings/drawing28.xml" ContentType="application/vnd.openxmlformats-officedocument.drawing+xml"/>
  <Default Extension="xml" ContentType="application/xml"/>
  <Override PartName="/xl/drawings/drawing2.xml" ContentType="application/vnd.openxmlformats-officedocument.drawing+xml"/>
  <Override PartName="/xl/comments4.xml" ContentType="application/vnd.openxmlformats-officedocument.spreadsheetml.comments+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embeddings/oleObject48.bin" ContentType="application/vnd.openxmlformats-officedocument.oleObject"/>
  <Override PartName="/xl/embeddings/oleObject59.bin" ContentType="application/vnd.openxmlformats-officedocument.oleObject"/>
  <Override PartName="/xl/worksheets/sheet29.xml" ContentType="application/vnd.openxmlformats-officedocument.spreadsheetml.worksheet+xml"/>
  <Override PartName="/xl/sharedStrings.xml" ContentType="application/vnd.openxmlformats-officedocument.spreadsheetml.sharedStrings+xml"/>
  <Override PartName="/xl/embeddings/oleObject19.bin" ContentType="application/vnd.openxmlformats-officedocument.oleObject"/>
  <Override PartName="/xl/embeddings/oleObject37.bin" ContentType="application/vnd.openxmlformats-officedocument.oleObject"/>
  <Override PartName="/xl/embeddings/oleObject66.bin" ContentType="application/vnd.openxmlformats-officedocument.oleObject"/>
  <Override PartName="/xl/worksheets/sheet18.xml" ContentType="application/vnd.openxmlformats-officedocument.spreadsheetml.worksheet+xml"/>
  <Override PartName="/xl/embeddings/oleObject9.bin" ContentType="application/vnd.openxmlformats-officedocument.oleObject"/>
  <Override PartName="/xl/embeddings/oleObject26.bin" ContentType="application/vnd.openxmlformats-officedocument.oleObject"/>
  <Override PartName="/xl/embeddings/oleObject44.bin" ContentType="application/vnd.openxmlformats-officedocument.oleObject"/>
  <Override PartName="/xl/embeddings/oleObject55.bin" ContentType="application/vnd.openxmlformats-officedocument.oleObject"/>
  <Override PartName="/xl/worksheets/sheet25.xml" ContentType="application/vnd.openxmlformats-officedocument.spreadsheetml.worksheet+xml"/>
  <Default Extension="png" ContentType="image/png"/>
  <Default Extension="bin" ContentType="application/vnd.openxmlformats-officedocument.spreadsheetml.printerSettings"/>
  <Override PartName="/xl/embeddings/oleObject15.bin" ContentType="application/vnd.openxmlformats-officedocument.oleObject"/>
  <Override PartName="/xl/embeddings/oleObject33.bin" ContentType="application/vnd.openxmlformats-officedocument.oleObject"/>
  <Override PartName="/xl/embeddings/oleObject62.bin" ContentType="application/vnd.openxmlformats-officedocument.oleObject"/>
  <Override PartName="/xl/worksheets/sheet14.xml" ContentType="application/vnd.openxmlformats-officedocument.spreadsheetml.worksheet+xml"/>
  <Override PartName="/xl/worksheets/sheet32.xml" ContentType="application/vnd.openxmlformats-officedocument.spreadsheetml.worksheet+xml"/>
  <Override PartName="/xl/embeddings/oleObject5.bin" ContentType="application/vnd.openxmlformats-officedocument.oleObject"/>
  <Override PartName="/xl/embeddings/oleObject22.bin" ContentType="application/vnd.openxmlformats-officedocument.oleObject"/>
  <Override PartName="/xl/drawings/drawing7.xml" ContentType="application/vnd.openxmlformats-officedocument.drawing+xml"/>
  <Override PartName="/xl/embeddings/oleObject40.bin" ContentType="application/vnd.openxmlformats-officedocument.oleObject"/>
  <Override PartName="/xl/comments9.xml" ContentType="application/vnd.openxmlformats-officedocument.spreadsheetml.comments+xml"/>
  <Override PartName="/xl/drawings/drawing29.xml" ContentType="application/vnd.openxmlformats-officedocument.drawing+xml"/>
  <Override PartName="/xl/embeddings/oleObject51.bin" ContentType="application/vnd.openxmlformats-officedocument.oleObject"/>
  <Override PartName="/xl/worksheets/sheet8.xml" ContentType="application/vnd.openxmlformats-officedocument.spreadsheetml.worksheet+xml"/>
  <Override PartName="/xl/worksheets/sheet21.xml" ContentType="application/vnd.openxmlformats-officedocument.spreadsheetml.worksheet+xml"/>
  <Default Extension="emf" ContentType="image/x-emf"/>
  <Override PartName="/xl/embeddings/oleObject11.bin" ContentType="application/vnd.openxmlformats-officedocument.oleObject"/>
  <Override PartName="/xl/drawings/drawing18.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embeddings/oleObject1.bin" ContentType="application/vnd.openxmlformats-officedocument.oleObject"/>
  <Override PartName="/xl/comments5.xml" ContentType="application/vnd.openxmlformats-officedocument.spreadsheetml.comments+xml"/>
  <Override PartName="/xl/drawings/drawing25.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omments3.xml" ContentType="application/vnd.openxmlformats-officedocument.spreadsheetml.comments+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embeddings/oleObject49.bin" ContentType="application/vnd.openxmlformats-officedocument.oleObject"/>
  <Override PartName="/xl/embeddings/oleObject58.bin" ContentType="application/vnd.openxmlformats-officedocument.oleObject"/>
  <Override PartName="/xl/embeddings/oleObject67.bin" ContentType="application/vnd.openxmlformats-officedocument.oleObject"/>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embeddings/oleObject18.bin" ContentType="application/vnd.openxmlformats-officedocument.oleObject"/>
  <Override PartName="/xl/embeddings/oleObject29.bin" ContentType="application/vnd.openxmlformats-officedocument.oleObject"/>
  <Override PartName="/xl/drawings/drawing10.xml" ContentType="application/vnd.openxmlformats-officedocument.drawing+xml"/>
  <Override PartName="/xl/embeddings/oleObject38.bin" ContentType="application/vnd.openxmlformats-officedocument.oleObject"/>
  <Override PartName="/xl/embeddings/oleObject47.bin" ContentType="application/vnd.openxmlformats-officedocument.oleObject"/>
  <Override PartName="/xl/embeddings/oleObject56.bin" ContentType="application/vnd.openxmlformats-officedocument.oleObject"/>
  <Override PartName="/xl/embeddings/oleObject65.bin" ContentType="application/vnd.openxmlformats-officedocument.oleObject"/>
  <Override PartName="/xl/worksheets/sheet17.xml" ContentType="application/vnd.openxmlformats-officedocument.spreadsheetml.worksheet+xml"/>
  <Override PartName="/xl/worksheets/sheet26.xml" ContentType="application/vnd.openxmlformats-officedocument.spreadsheetml.worksheet+xml"/>
  <Override PartName="/xl/embeddings/oleObject16.bin" ContentType="application/vnd.openxmlformats-officedocument.oleObject"/>
  <Override PartName="/xl/embeddings/oleObject25.bin" ContentType="application/vnd.openxmlformats-officedocument.oleObject"/>
  <Override PartName="/xl/embeddings/oleObject27.bin" ContentType="application/vnd.openxmlformats-officedocument.oleObject"/>
  <Override PartName="/xl/embeddings/oleObject36.bin" ContentType="application/vnd.openxmlformats-officedocument.oleObject"/>
  <Override PartName="/xl/embeddings/oleObject45.bin" ContentType="application/vnd.openxmlformats-officedocument.oleObject"/>
  <Override PartName="/xl/embeddings/oleObject54.bin" ContentType="application/vnd.openxmlformats-officedocument.oleObject"/>
  <Override PartName="/xl/embeddings/oleObject63.bin" ContentType="application/vnd.openxmlformats-officedocument.oleObject"/>
  <Override PartName="/docProps/core.xml" ContentType="application/vnd.openxmlformats-package.core-properties+xml"/>
  <Override PartName="/xl/worksheets/sheet15.xml" ContentType="application/vnd.openxmlformats-officedocument.spreadsheetml.worksheet+xml"/>
  <Override PartName="/xl/embeddings/oleObject23.bin" ContentType="application/vnd.openxmlformats-officedocument.oleObject"/>
  <Override PartName="/xl/embeddings/oleObject34.bin" ContentType="application/vnd.openxmlformats-officedocument.oleObject"/>
  <Override PartName="/xl/embeddings/oleObject52.bin" ContentType="application/vnd.openxmlformats-officedocument.oleObject"/>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embeddings/oleObject6.bin" ContentType="application/vnd.openxmlformats-officedocument.oleObject"/>
  <Override PartName="/xl/embeddings/oleObject12.bin" ContentType="application/vnd.openxmlformats-officedocument.oleObject"/>
  <Override PartName="/xl/drawings/drawing8.xml" ContentType="application/vnd.openxmlformats-officedocument.drawing+xml"/>
  <Override PartName="/xl/drawings/drawing19.xml" ContentType="application/vnd.openxmlformats-officedocument.drawing+xml"/>
  <Override PartName="/xl/embeddings/oleObject41.bin" ContentType="application/vnd.openxmlformats-officedocument.oleObject"/>
  <Override PartName="/xl/worksheets/sheet11.xml" ContentType="application/vnd.openxmlformats-officedocument.spreadsheetml.worksheet+xml"/>
  <Override PartName="/xl/drawings/drawing4.xml" ContentType="application/vnd.openxmlformats-officedocument.drawing+xml"/>
  <Override PartName="/xl/embeddings/oleObject30.bin" ContentType="application/vnd.openxmlformats-officedocument.oleObject"/>
  <Override PartName="/xl/comments6.xml" ContentType="application/vnd.openxmlformats-officedocument.spreadsheetml.comments+xml"/>
  <Override PartName="/xl/charts/chart2.xml" ContentType="application/vnd.openxmlformats-officedocument.drawingml.chart+xml"/>
  <Default Extension="rels" ContentType="application/vnd.openxmlformats-package.relationships+xml"/>
  <Override PartName="/xl/worksheets/sheet5.xml" ContentType="application/vnd.openxmlformats-officedocument.spreadsheetml.worksheet+xml"/>
  <Override PartName="/xl/embeddings/oleObject2.bin" ContentType="application/vnd.openxmlformats-officedocument.oleObject"/>
  <Override PartName="/xl/drawings/drawing1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2.xml" ContentType="application/vnd.openxmlformats-officedocument.drawing+xml"/>
  <Override PartName="/xl/drawings/drawing33.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embeddings/oleObject39.bin" ContentType="application/vnd.openxmlformats-officedocument.oleObject"/>
  <Override PartName="/xl/embeddings/oleObject68.bin" ContentType="application/vnd.openxmlformats-officedocument.oleObject"/>
  <Override PartName="/xl/embeddings/oleObject28.bin" ContentType="application/vnd.openxmlformats-officedocument.oleObject"/>
  <Override PartName="/xl/embeddings/oleObject46.bin" ContentType="application/vnd.openxmlformats-officedocument.oleObject"/>
  <Override PartName="/xl/embeddings/oleObject57.bin" ContentType="application/vnd.openxmlformats-officedocument.oleObject"/>
  <Override PartName="/xl/worksheets/sheet27.xml" ContentType="application/vnd.openxmlformats-officedocument.spreadsheetml.worksheet+xml"/>
  <Override PartName="/xl/embeddings/oleObject17.bin" ContentType="application/vnd.openxmlformats-officedocument.oleObject"/>
  <Override PartName="/xl/embeddings/oleObject35.bin" ContentType="application/vnd.openxmlformats-officedocument.oleObject"/>
  <Override PartName="/xl/embeddings/oleObject64.bin" ContentType="application/vnd.openxmlformats-officedocument.oleObject"/>
  <Override PartName="/xl/worksheets/sheet16.xml" ContentType="application/vnd.openxmlformats-officedocument.spreadsheetml.worksheet+xml"/>
  <Override PartName="/xl/worksheets/sheet34.xml" ContentType="application/vnd.openxmlformats-officedocument.spreadsheetml.worksheet+xml"/>
  <Override PartName="/xl/embeddings/oleObject7.bin" ContentType="application/vnd.openxmlformats-officedocument.oleObject"/>
  <Override PartName="/xl/embeddings/oleObject24.bin" ContentType="application/vnd.openxmlformats-officedocument.oleObject"/>
  <Override PartName="/xl/drawings/drawing9.xml" ContentType="application/vnd.openxmlformats-officedocument.drawing+xml"/>
  <Override PartName="/xl/embeddings/oleObject42.bin" ContentType="application/vnd.openxmlformats-officedocument.oleObject"/>
  <Override PartName="/xl/embeddings/oleObject53.bin" ContentType="application/vnd.openxmlformats-officedocument.oleObject"/>
  <Override PartName="/xl/worksheets/sheet23.xml" ContentType="application/vnd.openxmlformats-officedocument.spreadsheetml.worksheet+xml"/>
  <Override PartName="/xl/embeddings/oleObject13.bin" ContentType="application/vnd.openxmlformats-officedocument.oleObject"/>
  <Override PartName="/xl/embeddings/oleObject31.bin" ContentType="application/vnd.openxmlformats-officedocument.oleObject"/>
  <Override PartName="/xl/embeddings/oleObject60.bin" ContentType="application/vnd.openxmlformats-officedocument.oleObject"/>
  <Override PartName="/xl/worksheets/sheet6.xml" ContentType="application/vnd.openxmlformats-officedocument.spreadsheetml.worksheet+xml"/>
  <Override PartName="/xl/worksheets/sheet12.xml" ContentType="application/vnd.openxmlformats-officedocument.spreadsheetml.worksheet+xml"/>
  <Override PartName="/xl/worksheets/sheet30.xml" ContentType="application/vnd.openxmlformats-officedocument.spreadsheetml.worksheet+xml"/>
  <Override PartName="/xl/embeddings/oleObject3.bin" ContentType="application/vnd.openxmlformats-officedocument.oleObject"/>
  <Override PartName="/xl/embeddings/oleObject20.bin" ContentType="application/vnd.openxmlformats-officedocument.oleObject"/>
  <Override PartName="/xl/drawings/drawing5.xml" ContentType="application/vnd.openxmlformats-officedocument.drawing+xml"/>
  <Default Extension="jpeg" ContentType="image/jpeg"/>
  <Override PartName="/xl/comments7.xml" ContentType="application/vnd.openxmlformats-officedocument.spreadsheetml.comments+xml"/>
  <Override PartName="/xl/drawings/drawing27.xml" ContentType="application/vnd.openxmlformats-officedocument.drawing+xml"/>
  <Override PartName="/xl/drawings/drawing16.xml" ContentType="application/vnd.openxmlformats-officedocument.drawing+xml"/>
  <Override PartName="/xl/drawings/drawing3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30" yWindow="135" windowWidth="12705" windowHeight="5655" tabRatio="912"/>
  </bookViews>
  <sheets>
    <sheet name="目录" sheetId="29" r:id="rId1"/>
    <sheet name="轴的计算校核" sheetId="1" r:id="rId2"/>
    <sheet name="轴承校核计算" sheetId="43" r:id="rId3"/>
    <sheet name="圆柱齿轮强度" sheetId="2" r:id="rId4"/>
    <sheet name="锥齿轮强度" sheetId="4" r:id="rId5"/>
    <sheet name="蜗杆蜗轮强度" sheetId="6" r:id="rId6"/>
    <sheet name="螺栓螺钉计算" sheetId="41" r:id="rId7"/>
    <sheet name="弹簧校核计算" sheetId="42" r:id="rId8"/>
    <sheet name="V带选型向导" sheetId="9" r:id="rId9"/>
    <sheet name="同步带选型向导" sheetId="10" r:id="rId10"/>
    <sheet name="传送平带转矩计算" sheetId="35" r:id="rId11"/>
    <sheet name="滚子链选型向导" sheetId="11" r:id="rId12"/>
    <sheet name="倍速链选型向导" sheetId="12" r:id="rId13"/>
    <sheet name="气缸选型向导" sheetId="13" r:id="rId14"/>
    <sheet name="回转气缸选型向导" sheetId="14" r:id="rId15"/>
    <sheet name="普通滑台气缸选型向导" sheetId="16" r:id="rId16"/>
    <sheet name="精密滑台气缸选型向导 " sheetId="15" r:id="rId17"/>
    <sheet name="气动手指选型向导" sheetId="17" r:id="rId18"/>
    <sheet name="电磁阀选型向导" sheetId="18" r:id="rId19"/>
    <sheet name="真空吸盘与发生器" sheetId="21" r:id="rId20"/>
    <sheet name="油压缓冲器选型" sheetId="39" r:id="rId21"/>
    <sheet name="液压缸选型向导" sheetId="36" r:id="rId22"/>
    <sheet name="液压马达选型向导" sheetId="37" r:id="rId23"/>
    <sheet name="液压泵选型向导" sheetId="38" r:id="rId24"/>
    <sheet name="直线轴承选型向导" sheetId="22" r:id="rId25"/>
    <sheet name="2x2直线导轨滑块与直线轴承" sheetId="23" r:id="rId26"/>
    <sheet name="2x1直线导轨滑块与直线轴承" sheetId="24" r:id="rId27"/>
    <sheet name="1x1直线导轨滑块与直线轴承" sheetId="25" r:id="rId28"/>
    <sheet name="滚珠丝杆选型" sheetId="33" r:id="rId29"/>
    <sheet name="步进伺服电机选型" sheetId="26" r:id="rId30"/>
    <sheet name="凸轮分割器" sheetId="34" r:id="rId31"/>
    <sheet name="硬度与强度换算" sheetId="7" r:id="rId32"/>
    <sheet name="管螺纹尺寸对照" sheetId="19" r:id="rId33"/>
    <sheet name="反解渐开线inv" sheetId="20" r:id="rId34"/>
    <sheet name="转动惯量" sheetId="31" r:id="rId35"/>
  </sheets>
  <calcPr calcId="125725"/>
</workbook>
</file>

<file path=xl/calcChain.xml><?xml version="1.0" encoding="utf-8"?>
<calcChain xmlns="http://schemas.openxmlformats.org/spreadsheetml/2006/main">
  <c r="B67" i="29"/>
  <c r="B68"/>
  <c r="B69"/>
  <c r="B70"/>
  <c r="B71"/>
  <c r="B72"/>
  <c r="B73"/>
  <c r="B74"/>
  <c r="D133" i="43"/>
  <c r="C126"/>
  <c r="C127" s="1"/>
  <c r="C124"/>
  <c r="B34"/>
  <c r="B33"/>
  <c r="B31"/>
  <c r="B32"/>
  <c r="B30"/>
  <c r="B29"/>
  <c r="B27"/>
  <c r="B36"/>
  <c r="B28"/>
  <c r="B35"/>
  <c r="R36"/>
  <c r="B20"/>
  <c r="B19"/>
  <c r="B43"/>
  <c r="B42"/>
  <c r="C13"/>
  <c r="C40" s="1"/>
  <c r="C42" s="1"/>
  <c r="C12"/>
  <c r="C39" s="1"/>
  <c r="C14"/>
  <c r="C92"/>
  <c r="C85"/>
  <c r="C84"/>
  <c r="C83"/>
  <c r="P26" s="1"/>
  <c r="P27" s="1"/>
  <c r="C106"/>
  <c r="C55"/>
  <c r="C57"/>
  <c r="I24" i="42"/>
  <c r="I25" s="1"/>
  <c r="I23"/>
  <c r="C41"/>
  <c r="C34"/>
  <c r="C44"/>
  <c r="C35"/>
  <c r="C36" s="1"/>
  <c r="C8" i="41"/>
  <c r="C18" i="42"/>
  <c r="C20" s="1"/>
  <c r="C24" s="1"/>
  <c r="B11"/>
  <c r="B12"/>
  <c r="C7"/>
  <c r="C8" s="1"/>
  <c r="C11" s="1"/>
  <c r="C13" s="1"/>
  <c r="C15"/>
  <c r="C16" s="1"/>
  <c r="C22" s="1"/>
  <c r="F6" i="41"/>
  <c r="F5"/>
  <c r="C15"/>
  <c r="I6"/>
  <c r="I5"/>
  <c r="I4"/>
  <c r="J4" s="1"/>
  <c r="K4" s="1"/>
  <c r="L4" s="1"/>
  <c r="M4" s="1"/>
  <c r="N4" s="1"/>
  <c r="P4" s="1"/>
  <c r="Q4" s="1"/>
  <c r="H5"/>
  <c r="C25" i="39"/>
  <c r="C21"/>
  <c r="C24" s="1"/>
  <c r="C11"/>
  <c r="C10"/>
  <c r="C9"/>
  <c r="J17" i="38"/>
  <c r="J14"/>
  <c r="C8"/>
  <c r="I5"/>
  <c r="I8"/>
  <c r="C6"/>
  <c r="C19" i="37"/>
  <c r="C11"/>
  <c r="C16"/>
  <c r="C18"/>
  <c r="C10"/>
  <c r="C16" i="36"/>
  <c r="D11"/>
  <c r="C8"/>
  <c r="C15"/>
  <c r="D15" s="1"/>
  <c r="B15"/>
  <c r="C10"/>
  <c r="C12" s="1"/>
  <c r="C125" i="34"/>
  <c r="C108"/>
  <c r="C105"/>
  <c r="C109" s="1"/>
  <c r="C95"/>
  <c r="C97" s="1"/>
  <c r="C114" s="1"/>
  <c r="C115" s="1"/>
  <c r="C116" s="1"/>
  <c r="C120"/>
  <c r="C119"/>
  <c r="C117"/>
  <c r="C111"/>
  <c r="D111" s="1"/>
  <c r="C110"/>
  <c r="C18" i="35"/>
  <c r="D5"/>
  <c r="D6"/>
  <c r="C9"/>
  <c r="C71" i="26"/>
  <c r="J102"/>
  <c r="B31" i="34"/>
  <c r="B7"/>
  <c r="C54"/>
  <c r="C53"/>
  <c r="C61"/>
  <c r="C80"/>
  <c r="C79"/>
  <c r="C77"/>
  <c r="C69"/>
  <c r="D69" s="1"/>
  <c r="C68"/>
  <c r="C43"/>
  <c r="C32"/>
  <c r="C30"/>
  <c r="C39"/>
  <c r="C38"/>
  <c r="C36"/>
  <c r="C34"/>
  <c r="D34" s="1"/>
  <c r="C33"/>
  <c r="C21"/>
  <c r="C14"/>
  <c r="C13"/>
  <c r="C11"/>
  <c r="C9"/>
  <c r="D9" s="1"/>
  <c r="C8"/>
  <c r="C39" i="33"/>
  <c r="C42" s="1"/>
  <c r="C38"/>
  <c r="C36"/>
  <c r="C75"/>
  <c r="D54"/>
  <c r="D53"/>
  <c r="C56"/>
  <c r="C50"/>
  <c r="C59" s="1"/>
  <c r="C49"/>
  <c r="C46"/>
  <c r="C28"/>
  <c r="C20"/>
  <c r="D21" s="1"/>
  <c r="C5"/>
  <c r="C64" s="1"/>
  <c r="C37"/>
  <c r="C45" s="1"/>
  <c r="C26"/>
  <c r="C10"/>
  <c r="D13"/>
  <c r="C58"/>
  <c r="M22" i="31"/>
  <c r="M21"/>
  <c r="M19"/>
  <c r="M18"/>
  <c r="I13"/>
  <c r="I12"/>
  <c r="I11"/>
  <c r="I10"/>
  <c r="I9"/>
  <c r="I8"/>
  <c r="I7"/>
  <c r="I6"/>
  <c r="I5"/>
  <c r="I4"/>
  <c r="I3"/>
  <c r="C56" i="26"/>
  <c r="C155"/>
  <c r="C158" s="1"/>
  <c r="C99"/>
  <c r="D99" s="1"/>
  <c r="C161"/>
  <c r="D150"/>
  <c r="C156" s="1"/>
  <c r="D176"/>
  <c r="C15"/>
  <c r="D15" s="1"/>
  <c r="C104"/>
  <c r="D127" s="1"/>
  <c r="C112"/>
  <c r="C18"/>
  <c r="B75" i="29"/>
  <c r="B76"/>
  <c r="B77"/>
  <c r="B78"/>
  <c r="B79"/>
  <c r="B80"/>
  <c r="B81"/>
  <c r="B82"/>
  <c r="B83"/>
  <c r="B84"/>
  <c r="B85"/>
  <c r="B86"/>
  <c r="B87"/>
  <c r="B88"/>
  <c r="B89"/>
  <c r="B90"/>
  <c r="B91"/>
  <c r="B92"/>
  <c r="B93"/>
  <c r="B94"/>
  <c r="B95"/>
  <c r="B96"/>
  <c r="B97"/>
  <c r="B98"/>
  <c r="B99"/>
  <c r="B100"/>
  <c r="B101"/>
  <c r="B102"/>
  <c r="C148" i="26"/>
  <c r="I166" s="1"/>
  <c r="C136"/>
  <c r="C137" s="1"/>
  <c r="C145" s="1"/>
  <c r="D146" s="1"/>
  <c r="C57"/>
  <c r="C54"/>
  <c r="D79" s="1"/>
  <c r="C49"/>
  <c r="C50" s="1"/>
  <c r="C51" s="1"/>
  <c r="D52" s="1"/>
  <c r="C10"/>
  <c r="C24" s="1"/>
  <c r="C93"/>
  <c r="C94" s="1"/>
  <c r="C23" i="25"/>
  <c r="D23" s="1"/>
  <c r="C22"/>
  <c r="C20"/>
  <c r="C18"/>
  <c r="C15"/>
  <c r="C13"/>
  <c r="C14" s="1"/>
  <c r="C23" i="24"/>
  <c r="D23" s="1"/>
  <c r="C22"/>
  <c r="C20"/>
  <c r="C18"/>
  <c r="C15"/>
  <c r="C13"/>
  <c r="C14" s="1"/>
  <c r="C18" i="22"/>
  <c r="C15" i="23"/>
  <c r="C23"/>
  <c r="C24" s="1"/>
  <c r="C32" s="1"/>
  <c r="C13"/>
  <c r="C19" i="22"/>
  <c r="C22" i="23"/>
  <c r="C17" i="22"/>
  <c r="C20" i="23"/>
  <c r="C18"/>
  <c r="C9" i="22"/>
  <c r="C15"/>
  <c r="C13"/>
  <c r="C10"/>
  <c r="D5"/>
  <c r="C9" i="17"/>
  <c r="C20" i="13"/>
  <c r="C13"/>
  <c r="C14" s="1"/>
  <c r="C15" s="1"/>
  <c r="C16" s="1"/>
  <c r="C16" i="21"/>
  <c r="C18" s="1"/>
  <c r="C23" s="1"/>
  <c r="C24" s="1"/>
  <c r="D4"/>
  <c r="C11" s="1"/>
  <c r="D5"/>
  <c r="C25" i="18"/>
  <c r="C17"/>
  <c r="C18"/>
  <c r="D24"/>
  <c r="D23"/>
  <c r="D22"/>
  <c r="D21"/>
  <c r="D4"/>
  <c r="D7"/>
  <c r="D6"/>
  <c r="C9"/>
  <c r="C8"/>
  <c r="D8" s="1"/>
  <c r="B12" i="17"/>
  <c r="C22" i="16"/>
  <c r="C16"/>
  <c r="C15"/>
  <c r="C11"/>
  <c r="C12" s="1"/>
  <c r="C12" i="15"/>
  <c r="C13" s="1"/>
  <c r="C15" s="1"/>
  <c r="C38"/>
  <c r="C35"/>
  <c r="C17"/>
  <c r="C27"/>
  <c r="B49" s="1"/>
  <c r="C18"/>
  <c r="C19" s="1"/>
  <c r="C22" s="1"/>
  <c r="C17" i="14"/>
  <c r="B18" s="1"/>
  <c r="C16"/>
  <c r="C12"/>
  <c r="C13" s="1"/>
  <c r="C10"/>
  <c r="C11" s="1"/>
  <c r="C31" i="12"/>
  <c r="C32" s="1"/>
  <c r="C30"/>
  <c r="B33"/>
  <c r="C23"/>
  <c r="C20"/>
  <c r="D21" s="1"/>
  <c r="C15"/>
  <c r="C14"/>
  <c r="C11"/>
  <c r="C19" i="11"/>
  <c r="B20" s="1"/>
  <c r="B28"/>
  <c r="D12"/>
  <c r="C15"/>
  <c r="Z20"/>
  <c r="Z21"/>
  <c r="Z22"/>
  <c r="Z23"/>
  <c r="Z24"/>
  <c r="Z25"/>
  <c r="Z26"/>
  <c r="Z27"/>
  <c r="Z28"/>
  <c r="Z29"/>
  <c r="Z30"/>
  <c r="Z31"/>
  <c r="Z32"/>
  <c r="Z33"/>
  <c r="Z34"/>
  <c r="Z35"/>
  <c r="Z36"/>
  <c r="Z37"/>
  <c r="Z38"/>
  <c r="Z39"/>
  <c r="Z40"/>
  <c r="Z16"/>
  <c r="Z17"/>
  <c r="Z18"/>
  <c r="Z19"/>
  <c r="C11"/>
  <c r="C8"/>
  <c r="C18" i="10"/>
  <c r="C13"/>
  <c r="C11"/>
  <c r="C16" s="1"/>
  <c r="C9"/>
  <c r="C28" i="9"/>
  <c r="C25"/>
  <c r="C15"/>
  <c r="C17" s="1"/>
  <c r="D14"/>
  <c r="C12"/>
  <c r="C11"/>
  <c r="C8"/>
  <c r="F3" i="7"/>
  <c r="E3"/>
  <c r="D3"/>
  <c r="C3"/>
  <c r="O76" i="6"/>
  <c r="O77"/>
  <c r="O78"/>
  <c r="O79"/>
  <c r="O80"/>
  <c r="O81"/>
  <c r="O82"/>
  <c r="O83"/>
  <c r="O84"/>
  <c r="O85"/>
  <c r="O86"/>
  <c r="O87"/>
  <c r="O88"/>
  <c r="O89"/>
  <c r="O90"/>
  <c r="O91"/>
  <c r="O92"/>
  <c r="O93"/>
  <c r="O94"/>
  <c r="O63"/>
  <c r="O64"/>
  <c r="O66"/>
  <c r="O67"/>
  <c r="O68"/>
  <c r="O69"/>
  <c r="O70"/>
  <c r="O71"/>
  <c r="O72"/>
  <c r="O73"/>
  <c r="O74"/>
  <c r="O75"/>
  <c r="C30"/>
  <c r="O55"/>
  <c r="B31"/>
  <c r="C40"/>
  <c r="C51" s="1"/>
  <c r="D16"/>
  <c r="C18" s="1"/>
  <c r="C39"/>
  <c r="C63" s="1"/>
  <c r="C38"/>
  <c r="C41" s="1"/>
  <c r="C34"/>
  <c r="C35" s="1"/>
  <c r="C19"/>
  <c r="O56"/>
  <c r="O57"/>
  <c r="O58"/>
  <c r="O60"/>
  <c r="O61"/>
  <c r="O62"/>
  <c r="O52"/>
  <c r="O53"/>
  <c r="O50"/>
  <c r="C12"/>
  <c r="C24"/>
  <c r="C14"/>
  <c r="A6"/>
  <c r="B18" i="4"/>
  <c r="C8"/>
  <c r="C38"/>
  <c r="B38"/>
  <c r="C36"/>
  <c r="B36"/>
  <c r="C27"/>
  <c r="B27"/>
  <c r="C22"/>
  <c r="B21"/>
  <c r="B23" s="1"/>
  <c r="B34" s="1"/>
  <c r="C14"/>
  <c r="B16" s="1"/>
  <c r="B17" s="1"/>
  <c r="D11"/>
  <c r="C5"/>
  <c r="A7" s="1"/>
  <c r="A47" i="2"/>
  <c r="C45"/>
  <c r="B31"/>
  <c r="B22"/>
  <c r="B20"/>
  <c r="B21" s="1"/>
  <c r="C19"/>
  <c r="C14" s="1"/>
  <c r="C12"/>
  <c r="B25"/>
  <c r="A34"/>
  <c r="B39" i="29"/>
  <c r="B43"/>
  <c r="B47"/>
  <c r="B51"/>
  <c r="B55"/>
  <c r="B59"/>
  <c r="B63"/>
  <c r="B41"/>
  <c r="B36"/>
  <c r="B44"/>
  <c r="B48"/>
  <c r="B52"/>
  <c r="B56"/>
  <c r="B64"/>
  <c r="B38"/>
  <c r="B42"/>
  <c r="B46"/>
  <c r="B50"/>
  <c r="B54"/>
  <c r="B58"/>
  <c r="B62"/>
  <c r="B66"/>
  <c r="B37"/>
  <c r="B45"/>
  <c r="B49"/>
  <c r="B53"/>
  <c r="B57"/>
  <c r="B61"/>
  <c r="B65"/>
  <c r="B40"/>
  <c r="B60"/>
  <c r="C25" i="43" l="1"/>
  <c r="C24"/>
  <c r="R27"/>
  <c r="Q27"/>
  <c r="P28"/>
  <c r="C17"/>
  <c r="C19" s="1"/>
  <c r="C16"/>
  <c r="C43"/>
  <c r="C87"/>
  <c r="C88"/>
  <c r="C108"/>
  <c r="P20"/>
  <c r="P21" s="1"/>
  <c r="C29" i="9"/>
  <c r="C31" s="1"/>
  <c r="C13" i="35"/>
  <c r="C14" s="1"/>
  <c r="C16" s="1"/>
  <c r="C17" s="1"/>
  <c r="C20" i="11"/>
  <c r="C21" s="1"/>
  <c r="C121" i="34"/>
  <c r="C45" i="42"/>
  <c r="C38"/>
  <c r="C40" s="1"/>
  <c r="J6" i="41"/>
  <c r="K6" s="1"/>
  <c r="L6" s="1"/>
  <c r="M6" s="1"/>
  <c r="N6" s="1"/>
  <c r="P6" s="1"/>
  <c r="Q6" s="1"/>
  <c r="J5"/>
  <c r="K5" s="1"/>
  <c r="L5" s="1"/>
  <c r="M5" s="1"/>
  <c r="N5" s="1"/>
  <c r="P5" s="1"/>
  <c r="Q5" s="1"/>
  <c r="C26" i="39"/>
  <c r="C28" s="1"/>
  <c r="C12"/>
  <c r="C14" s="1"/>
  <c r="C10" i="38"/>
  <c r="C123" i="34"/>
  <c r="C124" s="1"/>
  <c r="C107" i="26"/>
  <c r="C20" i="35"/>
  <c r="C21" s="1"/>
  <c r="C59" i="26"/>
  <c r="C61" s="1"/>
  <c r="C83" i="34"/>
  <c r="C55"/>
  <c r="C71" s="1"/>
  <c r="C74" s="1"/>
  <c r="C76" s="1"/>
  <c r="C66"/>
  <c r="C40"/>
  <c r="C81"/>
  <c r="C15"/>
  <c r="C17" s="1"/>
  <c r="C19" s="1"/>
  <c r="C61" i="33"/>
  <c r="C47"/>
  <c r="D20"/>
  <c r="C24"/>
  <c r="C109" i="26"/>
  <c r="C152"/>
  <c r="C151"/>
  <c r="C105"/>
  <c r="C52"/>
  <c r="C146"/>
  <c r="D34"/>
  <c r="C20"/>
  <c r="D20" s="1"/>
  <c r="C69"/>
  <c r="D148"/>
  <c r="C68"/>
  <c r="C11"/>
  <c r="D12" s="1"/>
  <c r="C95"/>
  <c r="D54"/>
  <c r="C72"/>
  <c r="I114"/>
  <c r="C24" i="25"/>
  <c r="C24" i="24"/>
  <c r="C28" s="1"/>
  <c r="C29" i="23"/>
  <c r="C30"/>
  <c r="C31"/>
  <c r="C25"/>
  <c r="C14"/>
  <c r="C20" i="22"/>
  <c r="C27" i="21"/>
  <c r="D27"/>
  <c r="D13" i="13"/>
  <c r="C19" i="21"/>
  <c r="C21" s="1"/>
  <c r="C12"/>
  <c r="C13" i="16"/>
  <c r="C14"/>
  <c r="C39" i="15"/>
  <c r="C37"/>
  <c r="C21"/>
  <c r="C23" s="1"/>
  <c r="C33"/>
  <c r="C36" s="1"/>
  <c r="C16"/>
  <c r="C14"/>
  <c r="C18" i="14"/>
  <c r="C17" i="13"/>
  <c r="C19"/>
  <c r="C21" i="12"/>
  <c r="C24"/>
  <c r="C25" s="1"/>
  <c r="C27" s="1"/>
  <c r="C16"/>
  <c r="C22" i="11"/>
  <c r="C23"/>
  <c r="C25" s="1"/>
  <c r="C27" s="1"/>
  <c r="C17"/>
  <c r="D16"/>
  <c r="C13"/>
  <c r="C23" i="10"/>
  <c r="G1"/>
  <c r="H1" s="1"/>
  <c r="C15"/>
  <c r="C20" s="1"/>
  <c r="C18" i="9"/>
  <c r="C19"/>
  <c r="A27"/>
  <c r="C26"/>
  <c r="C45" i="6"/>
  <c r="B46"/>
  <c r="C43"/>
  <c r="C61"/>
  <c r="C62"/>
  <c r="C67"/>
  <c r="C64"/>
  <c r="C66" s="1"/>
  <c r="C42"/>
  <c r="C60"/>
  <c r="C50"/>
  <c r="C20"/>
  <c r="C18" i="4"/>
  <c r="C15"/>
  <c r="B15"/>
  <c r="C16"/>
  <c r="C17" s="1"/>
  <c r="C23"/>
  <c r="C34" s="1"/>
  <c r="B19"/>
  <c r="B28" s="1"/>
  <c r="B39"/>
  <c r="C40" i="2"/>
  <c r="C42"/>
  <c r="B42"/>
  <c r="B40"/>
  <c r="D16"/>
  <c r="C5"/>
  <c r="C31"/>
  <c r="C26"/>
  <c r="B27"/>
  <c r="B38" s="1"/>
  <c r="C6"/>
  <c r="D2" i="1"/>
  <c r="C34"/>
  <c r="C35" s="1"/>
  <c r="C25"/>
  <c r="C50"/>
  <c r="C51" s="1"/>
  <c r="C42"/>
  <c r="C18"/>
  <c r="C10"/>
  <c r="C11" s="1"/>
  <c r="C134" i="43" l="1"/>
  <c r="C136"/>
  <c r="R28"/>
  <c r="Q28"/>
  <c r="Q26" s="1"/>
  <c r="C86" s="1"/>
  <c r="Q21"/>
  <c r="R21"/>
  <c r="C20"/>
  <c r="C91"/>
  <c r="C93" s="1"/>
  <c r="C94" s="1"/>
  <c r="C112"/>
  <c r="C113" s="1"/>
  <c r="P22"/>
  <c r="C30" i="9"/>
  <c r="C29" i="25"/>
  <c r="C28"/>
  <c r="C122" i="34"/>
  <c r="C157" i="26"/>
  <c r="H159" s="1"/>
  <c r="H160" s="1"/>
  <c r="H162" s="1"/>
  <c r="C120"/>
  <c r="C108"/>
  <c r="H107" s="1"/>
  <c r="H108" s="1"/>
  <c r="H110" s="1"/>
  <c r="C106"/>
  <c r="D96"/>
  <c r="C114"/>
  <c r="C84" i="34"/>
  <c r="C85" s="1"/>
  <c r="C44"/>
  <c r="C46" s="1"/>
  <c r="D46" s="1"/>
  <c r="C82"/>
  <c r="D82" s="1"/>
  <c r="D19"/>
  <c r="C22"/>
  <c r="C66" i="33"/>
  <c r="C67"/>
  <c r="C44"/>
  <c r="B48" s="1"/>
  <c r="C27"/>
  <c r="C40"/>
  <c r="C169" i="26"/>
  <c r="C73"/>
  <c r="C75" s="1"/>
  <c r="C12"/>
  <c r="C96"/>
  <c r="C63"/>
  <c r="D63" s="1"/>
  <c r="C25"/>
  <c r="C28" s="1"/>
  <c r="C30" i="25"/>
  <c r="C31" s="1"/>
  <c r="C29" i="24"/>
  <c r="C30" s="1"/>
  <c r="C31" s="1"/>
  <c r="C35" i="23"/>
  <c r="C36"/>
  <c r="C33"/>
  <c r="C34"/>
  <c r="D23"/>
  <c r="C47" i="15"/>
  <c r="C34"/>
  <c r="D27" i="12"/>
  <c r="C17"/>
  <c r="C24" i="10"/>
  <c r="C25" s="1"/>
  <c r="C17"/>
  <c r="B20" i="9"/>
  <c r="C20"/>
  <c r="C32"/>
  <c r="C77" i="6"/>
  <c r="C75"/>
  <c r="C56"/>
  <c r="C53"/>
  <c r="C55" s="1"/>
  <c r="C21"/>
  <c r="C26" s="1"/>
  <c r="C27" s="1"/>
  <c r="C68"/>
  <c r="C42" i="4"/>
  <c r="C47" s="1"/>
  <c r="C19"/>
  <c r="C28" s="1"/>
  <c r="C30" s="1"/>
  <c r="C19" i="1"/>
  <c r="B43" i="2"/>
  <c r="A7"/>
  <c r="C27"/>
  <c r="C38" s="1"/>
  <c r="C26" i="1"/>
  <c r="B43"/>
  <c r="B36"/>
  <c r="C12"/>
  <c r="B135" i="43" l="1"/>
  <c r="C135"/>
  <c r="B137"/>
  <c r="C137"/>
  <c r="R22"/>
  <c r="Q22"/>
  <c r="B94"/>
  <c r="C95"/>
  <c r="C96" s="1"/>
  <c r="B113"/>
  <c r="C37" i="23"/>
  <c r="C38" s="1"/>
  <c r="D122" i="34"/>
  <c r="C126"/>
  <c r="C128" s="1"/>
  <c r="C131" s="1"/>
  <c r="C86"/>
  <c r="C88" s="1"/>
  <c r="C91" s="1"/>
  <c r="C121" i="26"/>
  <c r="C123" s="1"/>
  <c r="C49" i="34"/>
  <c r="C48" i="33"/>
  <c r="C65"/>
  <c r="C62"/>
  <c r="C63"/>
  <c r="C41"/>
  <c r="C163" i="26"/>
  <c r="C170" s="1"/>
  <c r="C172" s="1"/>
  <c r="C30"/>
  <c r="C31" s="1"/>
  <c r="C116"/>
  <c r="C77"/>
  <c r="C76"/>
  <c r="D76"/>
  <c r="C46" i="15"/>
  <c r="D48" s="1"/>
  <c r="C26" i="10"/>
  <c r="C19"/>
  <c r="B19"/>
  <c r="C57" i="6"/>
  <c r="B57"/>
  <c r="C69"/>
  <c r="B69"/>
  <c r="C45" i="4"/>
  <c r="C47" i="2"/>
  <c r="C52" s="1"/>
  <c r="C22"/>
  <c r="C20"/>
  <c r="C21" s="1"/>
  <c r="C13"/>
  <c r="B23"/>
  <c r="B32" s="1"/>
  <c r="B96" i="43" l="1"/>
  <c r="Q20"/>
  <c r="C56" s="1"/>
  <c r="C69" i="33"/>
  <c r="C60"/>
  <c r="C68" s="1"/>
  <c r="C57"/>
  <c r="B57"/>
  <c r="C43"/>
  <c r="B43"/>
  <c r="D116" i="26"/>
  <c r="H111"/>
  <c r="C165"/>
  <c r="C173"/>
  <c r="D173"/>
  <c r="C174"/>
  <c r="D31"/>
  <c r="C32"/>
  <c r="C125"/>
  <c r="C124"/>
  <c r="D124"/>
  <c r="C48" i="15"/>
  <c r="C29" i="10"/>
  <c r="C46" i="4"/>
  <c r="C23" i="2"/>
  <c r="C32" s="1"/>
  <c r="C34" s="1"/>
  <c r="C58" i="43" l="1"/>
  <c r="C59"/>
  <c r="R20"/>
  <c r="C60" s="1"/>
  <c r="C70" i="33"/>
  <c r="C72" s="1"/>
  <c r="C73" s="1"/>
  <c r="C74" s="1"/>
  <c r="D165" i="26"/>
  <c r="H163"/>
  <c r="C51" i="2"/>
  <c r="C50"/>
  <c r="C11" i="18"/>
  <c r="C12" s="1"/>
  <c r="C13" s="1"/>
  <c r="C63" i="43" l="1"/>
  <c r="R26" s="1"/>
  <c r="B74" i="33"/>
  <c r="C65" i="43" l="1"/>
  <c r="C66" s="1"/>
  <c r="C67"/>
  <c r="B68" s="1"/>
  <c r="C68" l="1"/>
  <c r="R32" s="1"/>
  <c r="B66"/>
  <c r="C28"/>
  <c r="C30" s="1"/>
  <c r="P36" s="1"/>
  <c r="C27"/>
  <c r="C29" s="1"/>
  <c r="P32" s="1"/>
  <c r="P37" l="1"/>
  <c r="P38"/>
  <c r="P34"/>
  <c r="P33"/>
  <c r="Q34" l="1"/>
  <c r="R34"/>
  <c r="R33"/>
  <c r="Q33"/>
  <c r="R37"/>
  <c r="Q37"/>
  <c r="Q38"/>
  <c r="R38"/>
  <c r="Q36" l="1"/>
  <c r="C32" s="1"/>
  <c r="Q32"/>
  <c r="C31" s="1"/>
  <c r="D31" l="1"/>
  <c r="C34"/>
  <c r="C33"/>
  <c r="C35" l="1"/>
  <c r="C36"/>
</calcChain>
</file>

<file path=xl/comments1.xml><?xml version="1.0" encoding="utf-8"?>
<comments xmlns="http://schemas.openxmlformats.org/spreadsheetml/2006/main">
  <authors>
    <author>Administrator</author>
  </authors>
  <commentList>
    <comment ref="C5" authorId="0">
      <text>
        <r>
          <rPr>
            <b/>
            <sz val="9"/>
            <color indexed="81"/>
            <rFont val="宋体"/>
            <family val="3"/>
            <charset val="134"/>
          </rPr>
          <t>图惜</t>
        </r>
        <r>
          <rPr>
            <b/>
            <sz val="9"/>
            <color indexed="81"/>
            <rFont val="Tahoma"/>
            <family val="2"/>
          </rPr>
          <t xml:space="preserve">:
</t>
        </r>
        <r>
          <rPr>
            <b/>
            <sz val="9"/>
            <color indexed="81"/>
            <rFont val="宋体"/>
            <family val="3"/>
            <charset val="134"/>
          </rPr>
          <t>右侧选择下拉菜单</t>
        </r>
      </text>
    </comment>
    <comment ref="F5"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发电机、均匀运转的带式/板式输送机、螺旋输送机、轻型升降机、包装机、机床进给机构、通风机、均匀密度材料搅拌机等</t>
        </r>
      </text>
    </comment>
    <comment ref="C6" authorId="0">
      <text>
        <r>
          <rPr>
            <b/>
            <sz val="9"/>
            <color indexed="81"/>
            <rFont val="宋体"/>
            <family val="3"/>
            <charset val="134"/>
          </rPr>
          <t>图惜</t>
        </r>
        <r>
          <rPr>
            <b/>
            <sz val="9"/>
            <color indexed="81"/>
            <rFont val="Tahoma"/>
            <family val="2"/>
          </rPr>
          <t xml:space="preserve">:
</t>
        </r>
        <r>
          <rPr>
            <b/>
            <sz val="9"/>
            <color indexed="81"/>
            <rFont val="宋体"/>
            <family val="3"/>
            <charset val="134"/>
          </rPr>
          <t>右侧选择下拉菜单</t>
        </r>
        <r>
          <rPr>
            <sz val="9"/>
            <color indexed="81"/>
            <rFont val="Tahoma"/>
            <family val="2"/>
          </rPr>
          <t xml:space="preserve">
</t>
        </r>
      </text>
    </comment>
    <comment ref="F6" authorId="0">
      <text>
        <r>
          <rPr>
            <b/>
            <sz val="9"/>
            <color indexed="81"/>
            <rFont val="宋体"/>
            <family val="3"/>
            <charset val="134"/>
          </rPr>
          <t>举例</t>
        </r>
        <r>
          <rPr>
            <b/>
            <sz val="9"/>
            <color indexed="81"/>
            <rFont val="Tahoma"/>
            <family val="2"/>
          </rPr>
          <t>:</t>
        </r>
        <r>
          <rPr>
            <sz val="9"/>
            <color indexed="81"/>
            <rFont val="Tahoma"/>
            <family val="2"/>
          </rPr>
          <t xml:space="preserve">
</t>
        </r>
        <r>
          <rPr>
            <sz val="11"/>
            <color indexed="81"/>
            <rFont val="宋体"/>
            <family val="3"/>
            <charset val="134"/>
          </rPr>
          <t>均匀运转的带式/板式输送机、机床主传动机构、重型升降机、工业/矿用风机、重型离心机、变密度材料搅拌机等</t>
        </r>
      </text>
    </comment>
    <comment ref="F7" authorId="0">
      <text>
        <r>
          <rPr>
            <b/>
            <sz val="9"/>
            <color indexed="81"/>
            <rFont val="宋体"/>
            <family val="3"/>
            <charset val="134"/>
          </rPr>
          <t>举例</t>
        </r>
        <r>
          <rPr>
            <b/>
            <sz val="9"/>
            <color indexed="81"/>
            <rFont val="Tahoma"/>
            <family val="2"/>
          </rPr>
          <t>:</t>
        </r>
        <r>
          <rPr>
            <sz val="9"/>
            <color indexed="81"/>
            <rFont val="Tahoma"/>
            <family val="2"/>
          </rPr>
          <t xml:space="preserve">
</t>
        </r>
        <r>
          <rPr>
            <sz val="11"/>
            <color indexed="81"/>
            <rFont val="宋体"/>
            <family val="3"/>
            <charset val="134"/>
          </rPr>
          <t>橡胶挤压机、轻型球磨机、木工机械、钢坯初切机、提升装置、单杠活塞等</t>
        </r>
      </text>
    </comment>
    <comment ref="F8" authorId="0">
      <text>
        <r>
          <rPr>
            <b/>
            <sz val="9"/>
            <color indexed="81"/>
            <rFont val="宋体"/>
            <family val="3"/>
            <charset val="134"/>
          </rPr>
          <t>举例</t>
        </r>
        <r>
          <rPr>
            <b/>
            <sz val="9"/>
            <color indexed="81"/>
            <rFont val="Tahoma"/>
            <family val="2"/>
          </rPr>
          <t>:</t>
        </r>
        <r>
          <rPr>
            <sz val="9"/>
            <color indexed="81"/>
            <rFont val="Tahoma"/>
            <family val="2"/>
          </rPr>
          <t xml:space="preserve">
</t>
        </r>
        <r>
          <rPr>
            <sz val="11"/>
            <color indexed="81"/>
            <rFont val="宋体"/>
            <family val="3"/>
            <charset val="134"/>
          </rPr>
          <t>挖掘机、重型球磨机、橡胶揉合机、破碎机、重型给水泵、旋转式钻探装置、压砖机、带材冷轧机、压坯机等</t>
        </r>
      </text>
    </comment>
    <comment ref="D16" authorId="0">
      <text>
        <r>
          <rPr>
            <b/>
            <sz val="9"/>
            <color indexed="81"/>
            <rFont val="宋体"/>
            <family val="3"/>
            <charset val="134"/>
          </rPr>
          <t>图惜</t>
        </r>
        <r>
          <rPr>
            <b/>
            <sz val="9"/>
            <color indexed="81"/>
            <rFont val="Tahoma"/>
            <family val="2"/>
          </rPr>
          <t>:
T</t>
        </r>
        <r>
          <rPr>
            <b/>
            <sz val="9"/>
            <color indexed="81"/>
            <rFont val="宋体"/>
            <family val="3"/>
            <charset val="134"/>
          </rPr>
          <t>最终值</t>
        </r>
        <r>
          <rPr>
            <sz val="9"/>
            <color indexed="81"/>
            <rFont val="Tahoma"/>
            <family val="2"/>
          </rPr>
          <t xml:space="preserve">
</t>
        </r>
      </text>
    </comment>
    <comment ref="D25" authorId="0">
      <text>
        <r>
          <rPr>
            <b/>
            <sz val="9"/>
            <color indexed="81"/>
            <rFont val="宋体"/>
            <family val="3"/>
            <charset val="134"/>
          </rPr>
          <t>图惜</t>
        </r>
        <r>
          <rPr>
            <b/>
            <sz val="9"/>
            <color indexed="81"/>
            <rFont val="Tahoma"/>
            <family val="2"/>
          </rPr>
          <t>:</t>
        </r>
        <r>
          <rPr>
            <sz val="9"/>
            <color indexed="81"/>
            <rFont val="Tahoma"/>
            <family val="2"/>
          </rPr>
          <t xml:space="preserve">
</t>
        </r>
        <r>
          <rPr>
            <sz val="10"/>
            <color indexed="81"/>
            <rFont val="宋体"/>
            <family val="3"/>
            <charset val="134"/>
          </rPr>
          <t>比如2班倒，每班8小时，一年300天，5年
则 L=2*8*300*5</t>
        </r>
      </text>
    </comment>
  </commentList>
</comments>
</file>

<file path=xl/comments2.xml><?xml version="1.0" encoding="utf-8"?>
<comments xmlns="http://schemas.openxmlformats.org/spreadsheetml/2006/main">
  <authors>
    <author>Administrator</author>
  </authors>
  <commentList>
    <comment ref="C5" authorId="0">
      <text>
        <r>
          <rPr>
            <b/>
            <sz val="9"/>
            <color indexed="81"/>
            <rFont val="宋体"/>
            <family val="3"/>
            <charset val="134"/>
          </rPr>
          <t>图惜</t>
        </r>
        <r>
          <rPr>
            <b/>
            <sz val="9"/>
            <color indexed="81"/>
            <rFont val="Tahoma"/>
            <family val="2"/>
          </rPr>
          <t xml:space="preserve">:
</t>
        </r>
        <r>
          <rPr>
            <b/>
            <sz val="9"/>
            <color indexed="81"/>
            <rFont val="宋体"/>
            <family val="3"/>
            <charset val="134"/>
          </rPr>
          <t>右侧选择下拉菜单</t>
        </r>
      </text>
    </comment>
    <comment ref="F5"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发电机、均匀运转的带式/板式输送机、螺旋输送机、轻型升降机、包装机、机床进给机构、通风机、均匀密度材料搅拌机等</t>
        </r>
      </text>
    </comment>
    <comment ref="F6" authorId="0">
      <text>
        <r>
          <rPr>
            <b/>
            <sz val="9"/>
            <color indexed="81"/>
            <rFont val="宋体"/>
            <family val="3"/>
            <charset val="134"/>
          </rPr>
          <t>举例</t>
        </r>
        <r>
          <rPr>
            <b/>
            <sz val="9"/>
            <color indexed="81"/>
            <rFont val="Tahoma"/>
            <family val="2"/>
          </rPr>
          <t>:</t>
        </r>
        <r>
          <rPr>
            <sz val="9"/>
            <color indexed="81"/>
            <rFont val="Tahoma"/>
            <family val="2"/>
          </rPr>
          <t xml:space="preserve">
</t>
        </r>
        <r>
          <rPr>
            <sz val="11"/>
            <color indexed="81"/>
            <rFont val="宋体"/>
            <family val="3"/>
            <charset val="134"/>
          </rPr>
          <t>均匀运转的带式/板式输送机、机床主传动机构、重型升降机、工业/矿用风机、重型离心机、变密度材料搅拌机等</t>
        </r>
      </text>
    </comment>
    <comment ref="F7" authorId="0">
      <text>
        <r>
          <rPr>
            <b/>
            <sz val="9"/>
            <color indexed="81"/>
            <rFont val="宋体"/>
            <family val="3"/>
            <charset val="134"/>
          </rPr>
          <t>举例</t>
        </r>
        <r>
          <rPr>
            <b/>
            <sz val="9"/>
            <color indexed="81"/>
            <rFont val="Tahoma"/>
            <family val="2"/>
          </rPr>
          <t>:</t>
        </r>
        <r>
          <rPr>
            <sz val="9"/>
            <color indexed="81"/>
            <rFont val="Tahoma"/>
            <family val="2"/>
          </rPr>
          <t xml:space="preserve">
</t>
        </r>
        <r>
          <rPr>
            <sz val="11"/>
            <color indexed="81"/>
            <rFont val="宋体"/>
            <family val="3"/>
            <charset val="134"/>
          </rPr>
          <t>橡胶挤压机、轻型球磨机、木工机械、钢坯初切机、提升装置、单杠活塞等</t>
        </r>
      </text>
    </comment>
    <comment ref="F8" authorId="0">
      <text>
        <r>
          <rPr>
            <b/>
            <sz val="9"/>
            <color indexed="81"/>
            <rFont val="宋体"/>
            <family val="3"/>
            <charset val="134"/>
          </rPr>
          <t>举例</t>
        </r>
        <r>
          <rPr>
            <b/>
            <sz val="9"/>
            <color indexed="81"/>
            <rFont val="Tahoma"/>
            <family val="2"/>
          </rPr>
          <t>:</t>
        </r>
        <r>
          <rPr>
            <sz val="9"/>
            <color indexed="81"/>
            <rFont val="Tahoma"/>
            <family val="2"/>
          </rPr>
          <t xml:space="preserve">
</t>
        </r>
        <r>
          <rPr>
            <sz val="11"/>
            <color indexed="81"/>
            <rFont val="宋体"/>
            <family val="3"/>
            <charset val="134"/>
          </rPr>
          <t>挖掘机、重型球磨机、橡胶揉合机、破碎机、重型给水泵、旋转式钻探装置、压砖机、带材冷轧机、压坯机等</t>
        </r>
      </text>
    </comment>
    <comment ref="D11" authorId="0">
      <text>
        <r>
          <rPr>
            <b/>
            <sz val="9"/>
            <color indexed="81"/>
            <rFont val="宋体"/>
            <family val="3"/>
            <charset val="134"/>
          </rPr>
          <t>图惜</t>
        </r>
        <r>
          <rPr>
            <b/>
            <sz val="9"/>
            <color indexed="81"/>
            <rFont val="Tahoma"/>
            <family val="2"/>
          </rPr>
          <t>:
T</t>
        </r>
        <r>
          <rPr>
            <b/>
            <sz val="9"/>
            <color indexed="81"/>
            <rFont val="宋体"/>
            <family val="3"/>
            <charset val="134"/>
          </rPr>
          <t>最终值</t>
        </r>
        <r>
          <rPr>
            <sz val="9"/>
            <color indexed="81"/>
            <rFont val="Tahoma"/>
            <family val="2"/>
          </rPr>
          <t xml:space="preserve">
</t>
        </r>
      </text>
    </comment>
    <comment ref="D21" authorId="0">
      <text>
        <r>
          <rPr>
            <b/>
            <sz val="9"/>
            <color indexed="81"/>
            <rFont val="宋体"/>
            <family val="3"/>
            <charset val="134"/>
          </rPr>
          <t>图惜</t>
        </r>
        <r>
          <rPr>
            <b/>
            <sz val="9"/>
            <color indexed="81"/>
            <rFont val="Tahoma"/>
            <family val="2"/>
          </rPr>
          <t>:</t>
        </r>
        <r>
          <rPr>
            <sz val="9"/>
            <color indexed="81"/>
            <rFont val="Tahoma"/>
            <family val="2"/>
          </rPr>
          <t xml:space="preserve">
</t>
        </r>
        <r>
          <rPr>
            <sz val="10"/>
            <color indexed="81"/>
            <rFont val="宋体"/>
            <family val="3"/>
            <charset val="134"/>
          </rPr>
          <t>比如2班倒，每班8小时，一年300天，5年
则 L=2*8*300*5</t>
        </r>
      </text>
    </comment>
  </commentList>
</comments>
</file>

<file path=xl/comments3.xml><?xml version="1.0" encoding="utf-8"?>
<comments xmlns="http://schemas.openxmlformats.org/spreadsheetml/2006/main">
  <authors>
    <author>Administrator</author>
  </authors>
  <commentList>
    <comment ref="D16" authorId="0">
      <text>
        <r>
          <rPr>
            <b/>
            <sz val="9"/>
            <color indexed="81"/>
            <rFont val="宋体"/>
            <family val="3"/>
            <charset val="134"/>
          </rPr>
          <t>图惜</t>
        </r>
        <r>
          <rPr>
            <b/>
            <sz val="9"/>
            <color indexed="81"/>
            <rFont val="Tahoma"/>
            <family val="2"/>
          </rPr>
          <t xml:space="preserve">:
</t>
        </r>
        <r>
          <rPr>
            <b/>
            <sz val="9"/>
            <color indexed="81"/>
            <rFont val="宋体"/>
            <family val="3"/>
            <charset val="134"/>
          </rPr>
          <t>蜗杆输入扭矩</t>
        </r>
        <r>
          <rPr>
            <b/>
            <sz val="9"/>
            <color indexed="81"/>
            <rFont val="Tahoma"/>
            <family val="2"/>
          </rPr>
          <t>T1</t>
        </r>
        <r>
          <rPr>
            <b/>
            <sz val="9"/>
            <color indexed="81"/>
            <rFont val="宋体"/>
            <family val="3"/>
            <charset val="134"/>
          </rPr>
          <t>最终值</t>
        </r>
        <r>
          <rPr>
            <sz val="9"/>
            <color indexed="81"/>
            <rFont val="Tahoma"/>
            <family val="2"/>
          </rPr>
          <t xml:space="preserve">
</t>
        </r>
      </text>
    </comment>
    <comment ref="D19" authorId="0">
      <text>
        <r>
          <rPr>
            <b/>
            <sz val="9"/>
            <color indexed="81"/>
            <rFont val="宋体"/>
            <family val="3"/>
            <charset val="134"/>
          </rPr>
          <t>图惜</t>
        </r>
        <r>
          <rPr>
            <b/>
            <sz val="9"/>
            <color indexed="81"/>
            <rFont val="Tahoma"/>
            <family val="2"/>
          </rPr>
          <t>:</t>
        </r>
        <r>
          <rPr>
            <sz val="9"/>
            <color indexed="81"/>
            <rFont val="Tahoma"/>
            <family val="2"/>
          </rPr>
          <t xml:space="preserve">
</t>
        </r>
        <r>
          <rPr>
            <sz val="10"/>
            <color indexed="81"/>
            <rFont val="宋体"/>
            <family val="3"/>
            <charset val="134"/>
          </rPr>
          <t>比如2班倒，每班8小时，一年300天，5年
则 L=2*8*300*5</t>
        </r>
      </text>
    </comment>
  </commentList>
</comments>
</file>

<file path=xl/comments4.xml><?xml version="1.0" encoding="utf-8"?>
<comments xmlns="http://schemas.openxmlformats.org/spreadsheetml/2006/main">
  <authors>
    <author>Administrator</author>
  </authors>
  <commentList>
    <comment ref="H19" authorId="0">
      <text>
        <r>
          <rPr>
            <b/>
            <sz val="9"/>
            <color indexed="81"/>
            <rFont val="宋体"/>
            <family val="3"/>
            <charset val="134"/>
          </rPr>
          <t>图惜</t>
        </r>
        <r>
          <rPr>
            <b/>
            <sz val="9"/>
            <color indexed="81"/>
            <rFont val="Tahoma"/>
            <family val="2"/>
          </rPr>
          <t xml:space="preserve">:
</t>
        </r>
        <r>
          <rPr>
            <b/>
            <sz val="9"/>
            <color indexed="81"/>
            <rFont val="宋体"/>
            <family val="3"/>
            <charset val="134"/>
          </rPr>
          <t>选择弹簧材质</t>
        </r>
      </text>
    </comment>
    <comment ref="I20" authorId="0">
      <text>
        <r>
          <rPr>
            <b/>
            <sz val="9"/>
            <color indexed="81"/>
            <rFont val="宋体"/>
            <family val="3"/>
            <charset val="134"/>
          </rPr>
          <t>图惜</t>
        </r>
        <r>
          <rPr>
            <b/>
            <sz val="9"/>
            <color indexed="81"/>
            <rFont val="Tahoma"/>
            <family val="2"/>
          </rPr>
          <t xml:space="preserve">:
</t>
        </r>
        <r>
          <rPr>
            <b/>
            <sz val="9"/>
            <color indexed="81"/>
            <rFont val="宋体"/>
            <family val="3"/>
            <charset val="134"/>
          </rPr>
          <t>选择载荷性质，见右说明</t>
        </r>
      </text>
    </comment>
    <comment ref="I21" authorId="0">
      <text>
        <r>
          <rPr>
            <b/>
            <sz val="9"/>
            <color indexed="81"/>
            <rFont val="宋体"/>
            <family val="3"/>
            <charset val="134"/>
          </rPr>
          <t>图惜</t>
        </r>
        <r>
          <rPr>
            <b/>
            <sz val="9"/>
            <color indexed="81"/>
            <rFont val="Tahoma"/>
            <family val="2"/>
          </rPr>
          <t>:</t>
        </r>
        <r>
          <rPr>
            <sz val="9"/>
            <color indexed="81"/>
            <rFont val="Tahoma"/>
            <family val="2"/>
          </rPr>
          <t xml:space="preserve">
</t>
        </r>
        <r>
          <rPr>
            <sz val="9"/>
            <color indexed="81"/>
            <rFont val="宋体"/>
            <family val="3"/>
            <charset val="134"/>
          </rPr>
          <t>填入线径</t>
        </r>
      </text>
    </comment>
    <comment ref="I22" authorId="0">
      <text>
        <r>
          <rPr>
            <b/>
            <sz val="9"/>
            <color indexed="81"/>
            <rFont val="宋体"/>
            <family val="3"/>
            <charset val="134"/>
          </rPr>
          <t>图惜</t>
        </r>
        <r>
          <rPr>
            <b/>
            <sz val="9"/>
            <color indexed="81"/>
            <rFont val="Tahoma"/>
            <family val="2"/>
          </rPr>
          <t xml:space="preserve">:
</t>
        </r>
        <r>
          <rPr>
            <b/>
            <sz val="9"/>
            <color indexed="81"/>
            <rFont val="宋体"/>
            <family val="3"/>
            <charset val="134"/>
          </rPr>
          <t>填入抗拉强度</t>
        </r>
      </text>
    </comment>
  </commentList>
</comments>
</file>

<file path=xl/comments5.xml><?xml version="1.0" encoding="utf-8"?>
<comments xmlns="http://schemas.openxmlformats.org/spreadsheetml/2006/main">
  <authors>
    <author>Administrator</author>
  </authors>
  <commentList>
    <comment ref="G4"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电动机（交流启动、三角启动、直流并励）、四缸以上内燃机</t>
        </r>
      </text>
    </comment>
    <comment ref="J4"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电动机（联机交流启动、直流复励或串励）、四缸以下内燃机</t>
        </r>
      </text>
    </comment>
    <comment ref="F6"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液体搅拌机,7.5kw内通风机和鼓风机,离心式水泵和压缩机,轻负荷输送机</t>
        </r>
      </text>
    </comment>
    <comment ref="F8" authorId="0">
      <text>
        <r>
          <rPr>
            <b/>
            <sz val="9"/>
            <color indexed="81"/>
            <rFont val="宋体"/>
            <family val="3"/>
            <charset val="134"/>
          </rPr>
          <t>举例</t>
        </r>
        <r>
          <rPr>
            <b/>
            <sz val="9"/>
            <color indexed="81"/>
            <rFont val="Tahoma"/>
            <family val="2"/>
          </rPr>
          <t xml:space="preserve">:
</t>
        </r>
        <r>
          <rPr>
            <sz val="12"/>
            <color indexed="81"/>
            <rFont val="宋体"/>
            <family val="3"/>
            <charset val="134"/>
          </rPr>
          <t xml:space="preserve">带式输送机,旋转式水泵和压缩机,发电机,金属切削机床,印刷机,旋转筛,木工机械
</t>
        </r>
      </text>
    </comment>
    <comment ref="F10"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制砖机,斗式提升机,往复式水泵和压缩机,起重机,磨粉机,冲剪机床,橡胶机械,振动筛,纺织机械</t>
        </r>
      </text>
    </comment>
    <comment ref="F12" authorId="0">
      <text>
        <r>
          <rPr>
            <sz val="12"/>
            <color indexed="81"/>
            <rFont val="宋体"/>
            <family val="3"/>
            <charset val="134"/>
          </rPr>
          <t>举例：
破碎机（旋转式、颚式）,磨碎机（球磨、棒磨、管磨）</t>
        </r>
      </text>
    </comment>
  </commentList>
</comments>
</file>

<file path=xl/comments6.xml><?xml version="1.0" encoding="utf-8"?>
<comments xmlns="http://schemas.openxmlformats.org/spreadsheetml/2006/main">
  <authors>
    <author>Administrator</author>
  </authors>
  <commentList>
    <comment ref="J4"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交流电动机（鼠笼式、同步带电动机），直流电动机（并激），多缸内燃机</t>
        </r>
      </text>
    </comment>
    <comment ref="M4" authorId="0">
      <text>
        <r>
          <rPr>
            <b/>
            <sz val="9"/>
            <color indexed="81"/>
            <rFont val="宋体"/>
            <family val="3"/>
            <charset val="134"/>
          </rPr>
          <t>举例</t>
        </r>
        <r>
          <rPr>
            <b/>
            <sz val="9"/>
            <color indexed="81"/>
            <rFont val="Tahoma"/>
            <family val="2"/>
          </rPr>
          <t>:</t>
        </r>
        <r>
          <rPr>
            <sz val="9"/>
            <color indexed="81"/>
            <rFont val="Tahoma"/>
            <family val="2"/>
          </rPr>
          <t xml:space="preserve">
</t>
        </r>
        <r>
          <rPr>
            <sz val="9"/>
            <color indexed="81"/>
            <rFont val="宋体"/>
            <family val="3"/>
            <charset val="134"/>
          </rPr>
          <t>交流</t>
        </r>
        <r>
          <rPr>
            <sz val="12"/>
            <color indexed="81"/>
            <rFont val="宋体"/>
            <family val="3"/>
            <charset val="134"/>
          </rPr>
          <t>电动机（大转矩、大滑差率、单相、滑环），直流电动机（复励或串励），单缸内燃机</t>
        </r>
      </text>
    </comment>
  </commentList>
</comments>
</file>

<file path=xl/comments7.xml><?xml version="1.0" encoding="utf-8"?>
<comments xmlns="http://schemas.openxmlformats.org/spreadsheetml/2006/main">
  <authors>
    <author>Administrator</author>
  </authors>
  <commentList>
    <comment ref="D5" authorId="0">
      <text>
        <r>
          <rPr>
            <b/>
            <sz val="9"/>
            <color indexed="81"/>
            <rFont val="宋体"/>
            <family val="3"/>
            <charset val="134"/>
          </rPr>
          <t>图惜</t>
        </r>
        <r>
          <rPr>
            <b/>
            <sz val="9"/>
            <color indexed="81"/>
            <rFont val="Tahoma"/>
            <family val="2"/>
          </rPr>
          <t>:
n</t>
        </r>
        <r>
          <rPr>
            <b/>
            <sz val="9"/>
            <color indexed="81"/>
            <rFont val="宋体"/>
            <family val="3"/>
            <charset val="134"/>
          </rPr>
          <t>最终值</t>
        </r>
        <r>
          <rPr>
            <sz val="9"/>
            <color indexed="81"/>
            <rFont val="Tahoma"/>
            <family val="2"/>
          </rPr>
          <t xml:space="preserve">
</t>
        </r>
      </text>
    </comment>
  </commentList>
</comments>
</file>

<file path=xl/comments8.xml><?xml version="1.0" encoding="utf-8"?>
<comments xmlns="http://schemas.openxmlformats.org/spreadsheetml/2006/main">
  <authors>
    <author>Administrator</author>
  </authors>
  <commentList>
    <comment ref="G8"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电动机、汽轮机和燃气轮机、带有液力耦合器的内燃机</t>
        </r>
      </text>
    </comment>
    <comment ref="I8"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≥6缸带机械联轴器的内燃机、一日2次以上启动的电动机</t>
        </r>
      </text>
    </comment>
    <comment ref="K8"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t>
        </r>
        <r>
          <rPr>
            <sz val="12"/>
            <color indexed="81"/>
            <rFont val="Tahoma"/>
            <family val="2"/>
          </rPr>
          <t>6</t>
        </r>
        <r>
          <rPr>
            <sz val="12"/>
            <color indexed="81"/>
            <rFont val="宋体"/>
            <family val="3"/>
            <charset val="134"/>
          </rPr>
          <t>缸带机械联轴器的内燃机</t>
        </r>
      </text>
    </comment>
    <comment ref="F9"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离心泵和压缩泵、印刷机械、均匀加料的带式输送机、自动扶梯、纸张压光机、液体搅拌泵和混料机、回转干燥炉、风机</t>
        </r>
      </text>
    </comment>
    <comment ref="F10" authorId="0">
      <text>
        <r>
          <rPr>
            <b/>
            <sz val="9"/>
            <color indexed="81"/>
            <rFont val="宋体"/>
            <family val="3"/>
            <charset val="134"/>
          </rPr>
          <t>举例</t>
        </r>
        <r>
          <rPr>
            <b/>
            <sz val="9"/>
            <color indexed="81"/>
            <rFont val="Tahoma"/>
            <family val="2"/>
          </rPr>
          <t xml:space="preserve">:
</t>
        </r>
        <r>
          <rPr>
            <sz val="12"/>
            <color indexed="81"/>
            <rFont val="宋体"/>
            <family val="3"/>
            <charset val="134"/>
          </rPr>
          <t>≥</t>
        </r>
        <r>
          <rPr>
            <sz val="12"/>
            <color indexed="81"/>
            <rFont val="Tahoma"/>
            <family val="2"/>
          </rPr>
          <t>3</t>
        </r>
        <r>
          <rPr>
            <sz val="12"/>
            <color indexed="81"/>
            <rFont val="宋体"/>
            <family val="3"/>
            <charset val="134"/>
          </rPr>
          <t xml:space="preserve">缸泵和压缩机、混凝土搅拌机、载荷非均匀搅拌机、载荷非恒定输送机、固体搅拌机和混料机
</t>
        </r>
      </text>
    </comment>
    <comment ref="F11" authorId="0">
      <text>
        <r>
          <rPr>
            <b/>
            <sz val="9"/>
            <color indexed="81"/>
            <rFont val="宋体"/>
            <family val="3"/>
            <charset val="134"/>
          </rPr>
          <t>举例</t>
        </r>
        <r>
          <rPr>
            <b/>
            <sz val="9"/>
            <color indexed="81"/>
            <rFont val="Tahoma"/>
            <family val="2"/>
          </rPr>
          <t>:</t>
        </r>
        <r>
          <rPr>
            <sz val="9"/>
            <color indexed="81"/>
            <rFont val="Tahoma"/>
            <family val="2"/>
          </rPr>
          <t xml:space="preserve">
</t>
        </r>
        <r>
          <rPr>
            <sz val="12"/>
            <color indexed="81"/>
            <rFont val="宋体"/>
            <family val="3"/>
            <charset val="134"/>
          </rPr>
          <t>≤两缸的泵和压缩机、刨煤机、电铲、轧机、球磨机、橡胶公共机械、压力机、剪床、石油钻床</t>
        </r>
      </text>
    </comment>
  </commentList>
</comments>
</file>

<file path=xl/comments9.xml><?xml version="1.0" encoding="utf-8"?>
<comments xmlns="http://schemas.openxmlformats.org/spreadsheetml/2006/main">
  <authors>
    <author>Administrator</author>
  </authors>
  <commentList>
    <comment ref="G5" authorId="0">
      <text>
        <r>
          <rPr>
            <b/>
            <sz val="9"/>
            <color indexed="81"/>
            <rFont val="宋体"/>
            <family val="3"/>
            <charset val="134"/>
          </rPr>
          <t>图惜:
请输入数据</t>
        </r>
      </text>
    </comment>
    <comment ref="H5"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text>
    </comment>
    <comment ref="G8"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text>
    </comment>
    <comment ref="H8"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text>
    </comment>
    <comment ref="G14"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text>
    </comment>
    <comment ref="H14"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text>
    </comment>
    <comment ref="I14"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r>
          <rPr>
            <sz val="9"/>
            <color indexed="81"/>
            <rFont val="Tahoma"/>
            <family val="2"/>
          </rPr>
          <t xml:space="preserve">
</t>
        </r>
      </text>
    </comment>
    <comment ref="G17"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text>
    </comment>
    <comment ref="H17"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r>
          <rPr>
            <sz val="9"/>
            <color indexed="81"/>
            <rFont val="Tahoma"/>
            <family val="2"/>
          </rPr>
          <t xml:space="preserve">
</t>
        </r>
      </text>
    </comment>
    <comment ref="I17" authorId="0">
      <text>
        <r>
          <rPr>
            <b/>
            <sz val="9"/>
            <color indexed="81"/>
            <rFont val="宋体"/>
            <family val="3"/>
            <charset val="134"/>
          </rPr>
          <t>图惜</t>
        </r>
        <r>
          <rPr>
            <b/>
            <sz val="9"/>
            <color indexed="81"/>
            <rFont val="Tahoma"/>
            <family val="2"/>
          </rPr>
          <t xml:space="preserve">:
</t>
        </r>
        <r>
          <rPr>
            <b/>
            <sz val="9"/>
            <color indexed="81"/>
            <rFont val="宋体"/>
            <family val="3"/>
            <charset val="134"/>
          </rPr>
          <t>请输入数据</t>
        </r>
        <r>
          <rPr>
            <sz val="9"/>
            <color indexed="81"/>
            <rFont val="Tahoma"/>
            <family val="2"/>
          </rPr>
          <t xml:space="preserve">
</t>
        </r>
      </text>
    </comment>
  </commentList>
</comments>
</file>

<file path=xl/sharedStrings.xml><?xml version="1.0" encoding="utf-8"?>
<sst xmlns="http://schemas.openxmlformats.org/spreadsheetml/2006/main" count="4048" uniqueCount="2799">
  <si>
    <t>负载参数</t>
  </si>
  <si>
    <t>单位</t>
  </si>
  <si>
    <t>kg.m²</t>
  </si>
  <si>
    <t>r/min</t>
  </si>
  <si>
    <t>s</t>
  </si>
  <si>
    <t>转动加速度α</t>
  </si>
  <si>
    <t>rad/s²</t>
  </si>
  <si>
    <t>Nmm</t>
  </si>
  <si>
    <t>电机启动时间t</t>
    <phoneticPr fontId="4" type="noConversion"/>
  </si>
  <si>
    <t>普通异步</t>
  </si>
  <si>
    <t>重载</t>
  </si>
  <si>
    <t>所需转矩T</t>
    <phoneticPr fontId="4" type="noConversion"/>
  </si>
  <si>
    <t>数据判断</t>
  </si>
  <si>
    <t>轴选用的材料</t>
    <phoneticPr fontId="4" type="noConversion"/>
  </si>
  <si>
    <t>电机启动时间t数据库</t>
    <phoneticPr fontId="4" type="noConversion"/>
  </si>
  <si>
    <t>备注</t>
    <phoneticPr fontId="4" type="noConversion"/>
  </si>
  <si>
    <t>转动惯量J</t>
    <phoneticPr fontId="4" type="noConversion"/>
  </si>
  <si>
    <t>SW中查惯性张量</t>
    <phoneticPr fontId="4" type="noConversion"/>
  </si>
  <si>
    <t>正常转速n</t>
    <phoneticPr fontId="4" type="noConversion"/>
  </si>
  <si>
    <t>α=△ω/△t
  =2π*n/60/t</t>
    <phoneticPr fontId="4" type="noConversion"/>
  </si>
  <si>
    <t>最小计算轴径</t>
    <phoneticPr fontId="4" type="noConversion"/>
  </si>
  <si>
    <t>mm</t>
    <phoneticPr fontId="4" type="noConversion"/>
  </si>
  <si>
    <t>备注</t>
    <phoneticPr fontId="4" type="noConversion"/>
  </si>
  <si>
    <t>许用扭转强度[τ]数据库</t>
    <phoneticPr fontId="4" type="noConversion"/>
  </si>
  <si>
    <t>负载力F</t>
    <phoneticPr fontId="4" type="noConversion"/>
  </si>
  <si>
    <t>N</t>
    <phoneticPr fontId="4" type="noConversion"/>
  </si>
  <si>
    <t>力臂L</t>
    <phoneticPr fontId="4" type="noConversion"/>
  </si>
  <si>
    <t>所需转矩T</t>
    <phoneticPr fontId="4" type="noConversion"/>
  </si>
  <si>
    <t>电机功率P</t>
    <phoneticPr fontId="4" type="noConversion"/>
  </si>
  <si>
    <t>KW</t>
    <phoneticPr fontId="4" type="noConversion"/>
  </si>
  <si>
    <t>r/min</t>
    <phoneticPr fontId="4" type="noConversion"/>
  </si>
  <si>
    <t>最小设计轴径d</t>
    <phoneticPr fontId="4" type="noConversion"/>
  </si>
  <si>
    <t>直驱输出力矩T</t>
    <phoneticPr fontId="4" type="noConversion"/>
  </si>
  <si>
    <t>N.M</t>
    <phoneticPr fontId="4" type="noConversion"/>
  </si>
  <si>
    <t>必须&gt;负载所需T</t>
    <phoneticPr fontId="4" type="noConversion"/>
  </si>
  <si>
    <t>扭转剪应力τ</t>
    <phoneticPr fontId="4" type="noConversion"/>
  </si>
  <si>
    <t>减速机输出力矩T</t>
    <phoneticPr fontId="4" type="noConversion"/>
  </si>
  <si>
    <t>查表,必须&gt;负载T</t>
    <phoneticPr fontId="4" type="noConversion"/>
  </si>
  <si>
    <t>第三步，轴刚度校核</t>
    <phoneticPr fontId="4" type="noConversion"/>
  </si>
  <si>
    <t>许用扭转刚度[φ]经验库</t>
    <phoneticPr fontId="4" type="noConversion"/>
  </si>
  <si>
    <t>轴传递的扭矩</t>
    <phoneticPr fontId="4" type="noConversion"/>
  </si>
  <si>
    <t>N.mm</t>
    <phoneticPr fontId="4" type="noConversion"/>
  </si>
  <si>
    <t>精密传动</t>
    <phoneticPr fontId="4" type="noConversion"/>
  </si>
  <si>
    <t>0.25~0.5</t>
    <phoneticPr fontId="4" type="noConversion"/>
  </si>
  <si>
    <t>切变模量G</t>
    <phoneticPr fontId="4" type="noConversion"/>
  </si>
  <si>
    <t>Gpa</t>
    <phoneticPr fontId="4" type="noConversion"/>
  </si>
  <si>
    <t>一般传动</t>
    <phoneticPr fontId="4" type="noConversion"/>
  </si>
  <si>
    <t>极惯性矩Ip</t>
    <phoneticPr fontId="4" type="noConversion"/>
  </si>
  <si>
    <t>要求不高的轴</t>
    <phoneticPr fontId="4" type="noConversion"/>
  </si>
  <si>
    <t>≥1</t>
    <phoneticPr fontId="4" type="noConversion"/>
  </si>
  <si>
    <t>刚度φ</t>
    <phoneticPr fontId="4" type="noConversion"/>
  </si>
  <si>
    <t>°/m</t>
    <phoneticPr fontId="4" type="noConversion"/>
  </si>
  <si>
    <t>和右侧库对比</t>
    <phoneticPr fontId="4" type="noConversion"/>
  </si>
  <si>
    <r>
      <t>mm</t>
    </r>
    <r>
      <rPr>
        <vertAlign val="superscript"/>
        <sz val="11"/>
        <color theme="1"/>
        <rFont val="宋体"/>
        <family val="3"/>
        <charset val="134"/>
        <scheme val="minor"/>
      </rPr>
      <t>4</t>
    </r>
    <phoneticPr fontId="4" type="noConversion"/>
  </si>
  <si>
    <t>0.5~1</t>
    <phoneticPr fontId="4" type="noConversion"/>
  </si>
  <si>
    <t>321(Cr18Ni9Ti)</t>
    <phoneticPr fontId="4" type="noConversion"/>
  </si>
  <si>
    <t>420(2Cr13/3Cr13)</t>
    <phoneticPr fontId="4" type="noConversion"/>
  </si>
  <si>
    <t>材料切变模量G数据库</t>
    <phoneticPr fontId="4" type="noConversion"/>
  </si>
  <si>
    <t>材料</t>
    <phoneticPr fontId="4" type="noConversion"/>
  </si>
  <si>
    <t>碳钢</t>
    <phoneticPr fontId="4" type="noConversion"/>
  </si>
  <si>
    <t>球墨铸铁</t>
    <phoneticPr fontId="4" type="noConversion"/>
  </si>
  <si>
    <t>73~76</t>
    <phoneticPr fontId="4" type="noConversion"/>
  </si>
  <si>
    <t>铝合金</t>
    <phoneticPr fontId="4" type="noConversion"/>
  </si>
  <si>
    <t>扎制铝</t>
    <phoneticPr fontId="4" type="noConversion"/>
  </si>
  <si>
    <t>24~26</t>
    <phoneticPr fontId="4" type="noConversion"/>
  </si>
  <si>
    <t>木材</t>
    <phoneticPr fontId="4" type="noConversion"/>
  </si>
  <si>
    <t>参考右侧数据库</t>
    <phoneticPr fontId="4" type="noConversion"/>
  </si>
  <si>
    <t>电机种类</t>
    <phoneticPr fontId="4" type="noConversion"/>
  </si>
  <si>
    <t>t（s）</t>
    <phoneticPr fontId="4" type="noConversion"/>
  </si>
  <si>
    <t>材料牌号</t>
    <phoneticPr fontId="4" type="noConversion"/>
  </si>
  <si>
    <t>G（GPa）</t>
    <phoneticPr fontId="4" type="noConversion"/>
  </si>
  <si>
    <t>传动精度要求</t>
    <phoneticPr fontId="4" type="noConversion"/>
  </si>
  <si>
    <t>[φ](°/m)</t>
    <phoneticPr fontId="4" type="noConversion"/>
  </si>
  <si>
    <t>20,Q235</t>
    <phoneticPr fontId="4" type="noConversion"/>
  </si>
  <si>
    <t>35,Q275</t>
    <phoneticPr fontId="4" type="noConversion"/>
  </si>
  <si>
    <t>40Cr,42SiMn</t>
    <phoneticPr fontId="4" type="noConversion"/>
  </si>
  <si>
    <t>35SiMn,38CrMnMo</t>
    <phoneticPr fontId="4" type="noConversion"/>
  </si>
  <si>
    <t>合金钢,不锈钢</t>
    <phoneticPr fontId="4" type="noConversion"/>
  </si>
  <si>
    <t>灰口铸铁,白口铸铁</t>
    <phoneticPr fontId="4" type="noConversion"/>
  </si>
  <si>
    <t>纯铜,锰青铜</t>
    <phoneticPr fontId="4" type="noConversion"/>
  </si>
  <si>
    <t>黄铜,铝青铜</t>
    <phoneticPr fontId="4" type="noConversion"/>
  </si>
  <si>
    <t>Mpa</t>
    <phoneticPr fontId="4" type="noConversion"/>
  </si>
  <si>
    <t>轴转速n</t>
    <phoneticPr fontId="4" type="noConversion"/>
  </si>
  <si>
    <t>Kw</t>
    <phoneticPr fontId="4" type="noConversion"/>
  </si>
  <si>
    <t>r/min</t>
    <phoneticPr fontId="4" type="noConversion"/>
  </si>
  <si>
    <t>转矩T</t>
    <phoneticPr fontId="4" type="noConversion"/>
  </si>
  <si>
    <t>已知电机功率和轴转速时</t>
    <phoneticPr fontId="4" type="noConversion"/>
  </si>
  <si>
    <t>轴转速n</t>
    <phoneticPr fontId="4" type="noConversion"/>
  </si>
  <si>
    <t>电机与负载参数</t>
    <phoneticPr fontId="4" type="noConversion"/>
  </si>
  <si>
    <t>轴参数</t>
    <phoneticPr fontId="4" type="noConversion"/>
  </si>
  <si>
    <t>减速机与轴参数</t>
    <phoneticPr fontId="4" type="noConversion"/>
  </si>
  <si>
    <t>电机与轴参数</t>
    <phoneticPr fontId="4" type="noConversion"/>
  </si>
  <si>
    <t>输入与计算</t>
    <phoneticPr fontId="4" type="noConversion"/>
  </si>
  <si>
    <t>已知减速机输出转矩时</t>
    <phoneticPr fontId="4" type="noConversion"/>
  </si>
  <si>
    <t>第二步，轴扭转强度校核（2选1）</t>
    <phoneticPr fontId="4" type="noConversion"/>
  </si>
  <si>
    <t>第一步，根据负载算出最小传动轴径（3选1）</t>
    <phoneticPr fontId="4" type="noConversion"/>
  </si>
  <si>
    <t>[τ](Mpa)</t>
    <phoneticPr fontId="4" type="noConversion"/>
  </si>
  <si>
    <t>[τ](Mpa)</t>
    <phoneticPr fontId="4" type="noConversion"/>
  </si>
  <si>
    <t>参考右侧库</t>
    <phoneticPr fontId="4" type="noConversion"/>
  </si>
  <si>
    <t>321(Cr18Ni9Ti)</t>
  </si>
  <si>
    <t>≥1</t>
    <phoneticPr fontId="4" type="noConversion"/>
  </si>
  <si>
    <t>8级表面硬斜齿</t>
    <phoneticPr fontId="4" type="noConversion"/>
  </si>
  <si>
    <t>小齿轮装置状况</t>
    <phoneticPr fontId="4" type="noConversion"/>
  </si>
  <si>
    <t>对称支撑</t>
    <phoneticPr fontId="4" type="noConversion"/>
  </si>
  <si>
    <t>不对称支撑</t>
    <phoneticPr fontId="4" type="noConversion"/>
  </si>
  <si>
    <t>悬臂支撑</t>
    <phoneticPr fontId="4" type="noConversion"/>
  </si>
  <si>
    <t>0.9~1.4</t>
    <phoneticPr fontId="4" type="noConversion"/>
  </si>
  <si>
    <t>0.7~1.15</t>
    <phoneticPr fontId="4" type="noConversion"/>
  </si>
  <si>
    <t>非金属齿轮</t>
    <phoneticPr fontId="4" type="noConversion"/>
  </si>
  <si>
    <t>0.5~1.2</t>
    <phoneticPr fontId="4" type="noConversion"/>
  </si>
  <si>
    <t>Z</t>
    <phoneticPr fontId="4" type="noConversion"/>
  </si>
  <si>
    <t>∞</t>
    <phoneticPr fontId="4" type="noConversion"/>
  </si>
  <si>
    <t>直齿和斜齿</t>
    <phoneticPr fontId="4" type="noConversion"/>
  </si>
  <si>
    <t>人字齿轮</t>
    <phoneticPr fontId="4" type="noConversion"/>
  </si>
  <si>
    <t>1.1~1.65</t>
    <phoneticPr fontId="4" type="noConversion"/>
  </si>
  <si>
    <t>参数</t>
    <phoneticPr fontId="4" type="noConversion"/>
  </si>
  <si>
    <t>参数与条件</t>
    <phoneticPr fontId="4" type="noConversion"/>
  </si>
  <si>
    <t>数值</t>
    <phoneticPr fontId="4" type="noConversion"/>
  </si>
  <si>
    <t>备注</t>
    <phoneticPr fontId="4" type="noConversion"/>
  </si>
  <si>
    <t>N=60njL</t>
    <phoneticPr fontId="4" type="noConversion"/>
  </si>
  <si>
    <t>工作寿命L（h）</t>
    <phoneticPr fontId="4" type="noConversion"/>
  </si>
  <si>
    <t>小齿轮</t>
    <phoneticPr fontId="4" type="noConversion"/>
  </si>
  <si>
    <t>大齿轮</t>
    <phoneticPr fontId="4" type="noConversion"/>
  </si>
  <si>
    <t>6级精度</t>
    <phoneticPr fontId="4" type="noConversion"/>
  </si>
  <si>
    <t>7级精度</t>
    <phoneticPr fontId="4" type="noConversion"/>
  </si>
  <si>
    <t>8级精度</t>
    <phoneticPr fontId="4" type="noConversion"/>
  </si>
  <si>
    <t>9级精度</t>
    <phoneticPr fontId="4" type="noConversion"/>
  </si>
  <si>
    <t>7级表面软斜齿</t>
    <phoneticPr fontId="4" type="noConversion"/>
  </si>
  <si>
    <t>8级表面软斜齿</t>
    <phoneticPr fontId="4" type="noConversion"/>
  </si>
  <si>
    <t>1.2~1.9</t>
    <phoneticPr fontId="4" type="noConversion"/>
  </si>
  <si>
    <r>
      <t>齿间载荷分布K</t>
    </r>
    <r>
      <rPr>
        <vertAlign val="subscript"/>
        <sz val="11"/>
        <color theme="1"/>
        <rFont val="宋体"/>
        <family val="3"/>
        <charset val="134"/>
        <scheme val="minor"/>
      </rPr>
      <t>α</t>
    </r>
    <r>
      <rPr>
        <sz val="11"/>
        <color theme="1"/>
        <rFont val="宋体"/>
        <family val="3"/>
        <charset val="134"/>
        <scheme val="minor"/>
      </rPr>
      <t xml:space="preserve">
（β≤30°）</t>
    </r>
    <phoneticPr fontId="4" type="noConversion"/>
  </si>
  <si>
    <t>相配合的齿轮数j</t>
    <phoneticPr fontId="4" type="noConversion"/>
  </si>
  <si>
    <t>转速n（r/min）</t>
    <phoneticPr fontId="4" type="noConversion"/>
  </si>
  <si>
    <t>应力循环次数N</t>
    <phoneticPr fontId="4" type="noConversion"/>
  </si>
  <si>
    <t>齿面硬度（HBS）</t>
    <phoneticPr fontId="4" type="noConversion"/>
  </si>
  <si>
    <t>小齿轮传递功率与转矩2选1输入</t>
    <phoneticPr fontId="4" type="noConversion"/>
  </si>
  <si>
    <t>表7</t>
    <phoneticPr fontId="4" type="noConversion"/>
  </si>
  <si>
    <t>表1</t>
    <phoneticPr fontId="4" type="noConversion"/>
  </si>
  <si>
    <t>表4</t>
    <phoneticPr fontId="4" type="noConversion"/>
  </si>
  <si>
    <t>表8中ML与MQ</t>
    <phoneticPr fontId="4" type="noConversion"/>
  </si>
  <si>
    <t>选大的带入计算</t>
    <phoneticPr fontId="4" type="noConversion"/>
  </si>
  <si>
    <t>表5</t>
    <phoneticPr fontId="4" type="noConversion"/>
  </si>
  <si>
    <t>表6</t>
    <phoneticPr fontId="4" type="noConversion"/>
  </si>
  <si>
    <t xml:space="preserve">动载系数Kv
</t>
    <phoneticPr fontId="4" type="noConversion"/>
  </si>
  <si>
    <t xml:space="preserve">     弹性模量
       E(MPa)
齿轮材料</t>
    <phoneticPr fontId="4" type="noConversion"/>
  </si>
  <si>
    <t>配对齿轮材料</t>
    <phoneticPr fontId="4" type="noConversion"/>
  </si>
  <si>
    <t>灰铸铁</t>
    <phoneticPr fontId="4" type="noConversion"/>
  </si>
  <si>
    <t>球墨铸铁</t>
    <phoneticPr fontId="4" type="noConversion"/>
  </si>
  <si>
    <t>铸钢</t>
    <phoneticPr fontId="4" type="noConversion"/>
  </si>
  <si>
    <t>锻钢</t>
    <phoneticPr fontId="4" type="noConversion"/>
  </si>
  <si>
    <t>夹布塑胶</t>
    <phoneticPr fontId="4" type="noConversion"/>
  </si>
  <si>
    <r>
      <t>11.8x10</t>
    </r>
    <r>
      <rPr>
        <vertAlign val="superscript"/>
        <sz val="11"/>
        <color theme="1"/>
        <rFont val="宋体"/>
        <family val="3"/>
        <charset val="134"/>
        <scheme val="minor"/>
      </rPr>
      <t>4</t>
    </r>
    <phoneticPr fontId="4" type="noConversion"/>
  </si>
  <si>
    <r>
      <t>17.3x10</t>
    </r>
    <r>
      <rPr>
        <vertAlign val="superscript"/>
        <sz val="11"/>
        <color theme="1"/>
        <rFont val="宋体"/>
        <family val="3"/>
        <charset val="134"/>
        <scheme val="minor"/>
      </rPr>
      <t>4</t>
    </r>
    <phoneticPr fontId="4" type="noConversion"/>
  </si>
  <si>
    <r>
      <t>20.2x10</t>
    </r>
    <r>
      <rPr>
        <vertAlign val="superscript"/>
        <sz val="11"/>
        <color theme="1"/>
        <rFont val="宋体"/>
        <family val="3"/>
        <charset val="134"/>
        <scheme val="minor"/>
      </rPr>
      <t>4</t>
    </r>
    <phoneticPr fontId="4" type="noConversion"/>
  </si>
  <si>
    <r>
      <t>20.4x10</t>
    </r>
    <r>
      <rPr>
        <vertAlign val="superscript"/>
        <sz val="11"/>
        <color theme="1"/>
        <rFont val="宋体"/>
        <family val="3"/>
        <charset val="134"/>
        <scheme val="minor"/>
      </rPr>
      <t>4</t>
    </r>
    <phoneticPr fontId="4" type="noConversion"/>
  </si>
  <si>
    <r>
      <t>0.785x10</t>
    </r>
    <r>
      <rPr>
        <vertAlign val="superscript"/>
        <sz val="11"/>
        <color theme="1"/>
        <rFont val="宋体"/>
        <family val="3"/>
        <charset val="134"/>
        <scheme val="minor"/>
      </rPr>
      <t>4</t>
    </r>
    <phoneticPr fontId="4" type="noConversion"/>
  </si>
  <si>
    <t>锻钢</t>
    <phoneticPr fontId="4" type="noConversion"/>
  </si>
  <si>
    <t>铸钢</t>
    <phoneticPr fontId="4" type="noConversion"/>
  </si>
  <si>
    <t>表中夹布塑胶泊松比0.5，其余均为0.3</t>
    <phoneticPr fontId="4" type="noConversion"/>
  </si>
  <si>
    <t>传动比u</t>
    <phoneticPr fontId="4" type="noConversion"/>
  </si>
  <si>
    <t>开式齿轮</t>
    <phoneticPr fontId="4" type="noConversion"/>
  </si>
  <si>
    <t>放大1.1~1.15倍</t>
    <phoneticPr fontId="4" type="noConversion"/>
  </si>
  <si>
    <t>闭式齿轮</t>
    <phoneticPr fontId="4" type="noConversion"/>
  </si>
  <si>
    <t>m≥</t>
    <phoneticPr fontId="4" type="noConversion"/>
  </si>
  <si>
    <t>d1≥</t>
    <phoneticPr fontId="4" type="noConversion"/>
  </si>
  <si>
    <t>若已知T(N.mm)</t>
    <phoneticPr fontId="4" type="noConversion"/>
  </si>
  <si>
    <t>若已知P(kw)</t>
    <phoneticPr fontId="4" type="noConversion"/>
  </si>
  <si>
    <t>机器名称</t>
    <phoneticPr fontId="4" type="noConversion"/>
  </si>
  <si>
    <t>精度等级</t>
    <phoneticPr fontId="4" type="noConversion"/>
  </si>
  <si>
    <t>汽轮机</t>
    <phoneticPr fontId="4" type="noConversion"/>
  </si>
  <si>
    <t>金属切削机床</t>
    <phoneticPr fontId="4" type="noConversion"/>
  </si>
  <si>
    <t>航空发动机</t>
    <phoneticPr fontId="4" type="noConversion"/>
  </si>
  <si>
    <t>轻型汽车</t>
    <phoneticPr fontId="4" type="noConversion"/>
  </si>
  <si>
    <t>载重汽车</t>
    <phoneticPr fontId="4" type="noConversion"/>
  </si>
  <si>
    <t>拖拉机</t>
    <phoneticPr fontId="4" type="noConversion"/>
  </si>
  <si>
    <t>通用减速器</t>
    <phoneticPr fontId="4" type="noConversion"/>
  </si>
  <si>
    <t>锻压机床</t>
    <phoneticPr fontId="4" type="noConversion"/>
  </si>
  <si>
    <t>起重机</t>
    <phoneticPr fontId="4" type="noConversion"/>
  </si>
  <si>
    <t>农业机器</t>
    <phoneticPr fontId="4" type="noConversion"/>
  </si>
  <si>
    <t>3~6</t>
    <phoneticPr fontId="4" type="noConversion"/>
  </si>
  <si>
    <t>3~8</t>
    <phoneticPr fontId="4" type="noConversion"/>
  </si>
  <si>
    <t>4~8</t>
    <phoneticPr fontId="4" type="noConversion"/>
  </si>
  <si>
    <t>5~8</t>
    <phoneticPr fontId="4" type="noConversion"/>
  </si>
  <si>
    <t>7~9</t>
    <phoneticPr fontId="4" type="noConversion"/>
  </si>
  <si>
    <t>6~8</t>
    <phoneticPr fontId="4" type="noConversion"/>
  </si>
  <si>
    <t>6~9</t>
    <phoneticPr fontId="4" type="noConversion"/>
  </si>
  <si>
    <t>7~10</t>
    <phoneticPr fontId="4" type="noConversion"/>
  </si>
  <si>
    <t>8~11</t>
    <phoneticPr fontId="4" type="noConversion"/>
  </si>
  <si>
    <t>[σ]=KN*σHlim/S,S取1</t>
    <phoneticPr fontId="4" type="noConversion"/>
  </si>
  <si>
    <t>轴传递功率</t>
    <phoneticPr fontId="4" type="noConversion"/>
  </si>
  <si>
    <t>电机功率*效率</t>
    <phoneticPr fontId="4" type="noConversion"/>
  </si>
  <si>
    <t>文档信息
编写：图惜
参考：《材料力学—第4版》——刘鸿文
      《机械设计手册——第五版》——成大先
鸣谢：前桥教育——宣言老师
                                   2018.7.18</t>
    <phoneticPr fontId="4" type="noConversion"/>
  </si>
  <si>
    <r>
      <t>表9 接触疲劳强度极限σ</t>
    </r>
    <r>
      <rPr>
        <vertAlign val="subscript"/>
        <sz val="14"/>
        <color theme="1"/>
        <rFont val="宋体"/>
        <family val="3"/>
        <charset val="134"/>
        <scheme val="minor"/>
      </rPr>
      <t>Hlim</t>
    </r>
    <phoneticPr fontId="4" type="noConversion"/>
  </si>
  <si>
    <r>
      <t>表7 接触疲劳寿命系数K</t>
    </r>
    <r>
      <rPr>
        <vertAlign val="subscript"/>
        <sz val="14"/>
        <color theme="1"/>
        <rFont val="宋体"/>
        <family val="3"/>
        <charset val="134"/>
        <scheme val="minor"/>
      </rPr>
      <t>HN</t>
    </r>
    <phoneticPr fontId="4" type="noConversion"/>
  </si>
  <si>
    <r>
      <t>表6 弯曲疲劳寿命系数K</t>
    </r>
    <r>
      <rPr>
        <vertAlign val="subscript"/>
        <sz val="14"/>
        <color theme="1"/>
        <rFont val="宋体"/>
        <family val="3"/>
        <charset val="134"/>
        <scheme val="minor"/>
      </rPr>
      <t>FN</t>
    </r>
    <r>
      <rPr>
        <sz val="11"/>
        <color theme="1"/>
        <rFont val="宋体"/>
        <family val="3"/>
        <charset val="134"/>
        <scheme val="minor"/>
      </rPr>
      <t xml:space="preserve"> </t>
    </r>
    <phoneticPr fontId="4" type="noConversion"/>
  </si>
  <si>
    <r>
      <t>[σ]=K</t>
    </r>
    <r>
      <rPr>
        <vertAlign val="subscript"/>
        <sz val="14"/>
        <color theme="1"/>
        <rFont val="宋体"/>
        <family val="3"/>
        <charset val="134"/>
        <scheme val="minor"/>
      </rPr>
      <t>N</t>
    </r>
    <r>
      <rPr>
        <sz val="10"/>
        <color theme="1"/>
        <rFont val="宋体"/>
        <family val="3"/>
        <charset val="134"/>
        <scheme val="minor"/>
      </rPr>
      <t>*σ</t>
    </r>
    <r>
      <rPr>
        <vertAlign val="subscript"/>
        <sz val="14"/>
        <color theme="1"/>
        <rFont val="宋体"/>
        <family val="3"/>
        <charset val="134"/>
        <scheme val="minor"/>
      </rPr>
      <t>FE</t>
    </r>
    <r>
      <rPr>
        <sz val="10"/>
        <color theme="1"/>
        <rFont val="宋体"/>
        <family val="3"/>
        <charset val="134"/>
        <scheme val="minor"/>
      </rPr>
      <t>/S，S取1.5</t>
    </r>
    <phoneticPr fontId="4" type="noConversion"/>
  </si>
  <si>
    <r>
      <t>齿间载荷分布K</t>
    </r>
    <r>
      <rPr>
        <vertAlign val="subscript"/>
        <sz val="14"/>
        <color theme="1"/>
        <rFont val="宋体"/>
        <family val="3"/>
        <charset val="134"/>
        <scheme val="minor"/>
      </rPr>
      <t>α</t>
    </r>
    <phoneticPr fontId="4" type="noConversion"/>
  </si>
  <si>
    <r>
      <t>齿向载荷分布K</t>
    </r>
    <r>
      <rPr>
        <vertAlign val="subscript"/>
        <sz val="14"/>
        <color theme="1"/>
        <rFont val="宋体"/>
        <family val="3"/>
        <charset val="134"/>
        <scheme val="minor"/>
      </rPr>
      <t>β</t>
    </r>
    <phoneticPr fontId="4" type="noConversion"/>
  </si>
  <si>
    <r>
      <t>使用系数K</t>
    </r>
    <r>
      <rPr>
        <vertAlign val="subscript"/>
        <sz val="14"/>
        <color theme="1"/>
        <rFont val="宋体"/>
        <family val="3"/>
        <charset val="134"/>
        <scheme val="minor"/>
      </rPr>
      <t>A</t>
    </r>
    <phoneticPr fontId="4" type="noConversion"/>
  </si>
  <si>
    <r>
      <t>动载系数K</t>
    </r>
    <r>
      <rPr>
        <vertAlign val="subscript"/>
        <sz val="14"/>
        <color theme="1"/>
        <rFont val="宋体"/>
        <family val="3"/>
        <charset val="134"/>
        <scheme val="minor"/>
      </rPr>
      <t>V</t>
    </r>
    <phoneticPr fontId="4" type="noConversion"/>
  </si>
  <si>
    <r>
      <t>表1 使用系数K</t>
    </r>
    <r>
      <rPr>
        <vertAlign val="subscript"/>
        <sz val="14"/>
        <color theme="1"/>
        <rFont val="宋体"/>
        <family val="3"/>
        <charset val="134"/>
        <scheme val="minor"/>
      </rPr>
      <t>A</t>
    </r>
    <phoneticPr fontId="4" type="noConversion"/>
  </si>
  <si>
    <r>
      <t>载荷分布系数
K=K</t>
    </r>
    <r>
      <rPr>
        <vertAlign val="subscript"/>
        <sz val="14"/>
        <color theme="1"/>
        <rFont val="宋体"/>
        <family val="3"/>
        <charset val="134"/>
        <scheme val="minor"/>
      </rPr>
      <t>A</t>
    </r>
    <r>
      <rPr>
        <sz val="11"/>
        <color theme="1"/>
        <rFont val="宋体"/>
        <family val="3"/>
        <charset val="134"/>
        <scheme val="minor"/>
      </rPr>
      <t>*K</t>
    </r>
    <r>
      <rPr>
        <vertAlign val="subscript"/>
        <sz val="14"/>
        <color theme="1"/>
        <rFont val="宋体"/>
        <family val="3"/>
        <charset val="134"/>
        <scheme val="minor"/>
      </rPr>
      <t>V</t>
    </r>
    <r>
      <rPr>
        <sz val="11"/>
        <color theme="1"/>
        <rFont val="宋体"/>
        <family val="3"/>
        <charset val="134"/>
        <scheme val="minor"/>
      </rPr>
      <t>*K</t>
    </r>
    <r>
      <rPr>
        <vertAlign val="subscript"/>
        <sz val="14"/>
        <color theme="1"/>
        <rFont val="宋体"/>
        <family val="3"/>
        <charset val="134"/>
        <scheme val="minor"/>
      </rPr>
      <t>α</t>
    </r>
    <r>
      <rPr>
        <sz val="11"/>
        <color theme="1"/>
        <rFont val="宋体"/>
        <family val="3"/>
        <charset val="134"/>
        <scheme val="minor"/>
      </rPr>
      <t>*K</t>
    </r>
    <r>
      <rPr>
        <vertAlign val="subscript"/>
        <sz val="14"/>
        <color theme="1"/>
        <rFont val="宋体"/>
        <family val="3"/>
        <charset val="134"/>
        <scheme val="minor"/>
      </rPr>
      <t>β</t>
    </r>
    <r>
      <rPr>
        <sz val="11"/>
        <color theme="1"/>
        <rFont val="宋体"/>
        <family val="3"/>
        <charset val="134"/>
        <scheme val="minor"/>
      </rPr>
      <t xml:space="preserve">
=</t>
    </r>
    <phoneticPr fontId="4" type="noConversion"/>
  </si>
  <si>
    <r>
      <t>Y</t>
    </r>
    <r>
      <rPr>
        <vertAlign val="subscript"/>
        <sz val="14"/>
        <color theme="1"/>
        <rFont val="宋体"/>
        <family val="3"/>
        <charset val="134"/>
        <scheme val="minor"/>
      </rPr>
      <t>Fa</t>
    </r>
    <phoneticPr fontId="4" type="noConversion"/>
  </si>
  <si>
    <r>
      <t>Y</t>
    </r>
    <r>
      <rPr>
        <vertAlign val="subscript"/>
        <sz val="14"/>
        <color theme="1"/>
        <rFont val="宋体"/>
        <family val="3"/>
        <charset val="134"/>
        <scheme val="minor"/>
      </rPr>
      <t>sa</t>
    </r>
    <phoneticPr fontId="4" type="noConversion"/>
  </si>
  <si>
    <r>
      <t>内齿轮Y</t>
    </r>
    <r>
      <rPr>
        <vertAlign val="subscript"/>
        <sz val="14"/>
        <color theme="1"/>
        <rFont val="宋体"/>
        <family val="3"/>
        <charset val="134"/>
        <scheme val="minor"/>
      </rPr>
      <t>Fa</t>
    </r>
    <r>
      <rPr>
        <sz val="11"/>
        <color theme="1"/>
        <rFont val="宋体"/>
        <family val="3"/>
        <charset val="134"/>
        <scheme val="minor"/>
      </rPr>
      <t>=2.05，Y</t>
    </r>
    <r>
      <rPr>
        <vertAlign val="subscript"/>
        <sz val="14"/>
        <color theme="1"/>
        <rFont val="宋体"/>
        <family val="3"/>
        <charset val="134"/>
        <scheme val="minor"/>
      </rPr>
      <t>sa</t>
    </r>
    <r>
      <rPr>
        <sz val="11"/>
        <color theme="1"/>
        <rFont val="宋体"/>
        <family val="3"/>
        <charset val="134"/>
        <scheme val="minor"/>
      </rPr>
      <t>=2.65</t>
    </r>
    <phoneticPr fontId="4" type="noConversion"/>
  </si>
  <si>
    <r>
      <t>表8 弯曲疲劳强度极限σ</t>
    </r>
    <r>
      <rPr>
        <vertAlign val="subscript"/>
        <sz val="14"/>
        <color theme="1"/>
        <rFont val="宋体"/>
        <family val="3"/>
        <charset val="134"/>
        <scheme val="minor"/>
      </rPr>
      <t>FE</t>
    </r>
    <r>
      <rPr>
        <sz val="11"/>
        <color theme="1"/>
        <rFont val="宋体"/>
        <family val="3"/>
        <charset val="134"/>
      </rPr>
      <t/>
    </r>
    <phoneticPr fontId="4" type="noConversion"/>
  </si>
  <si>
    <r>
      <t>取[σ</t>
    </r>
    <r>
      <rPr>
        <vertAlign val="subscript"/>
        <sz val="14"/>
        <color theme="1"/>
        <rFont val="宋体"/>
        <family val="3"/>
        <charset val="134"/>
        <scheme val="minor"/>
      </rPr>
      <t>H</t>
    </r>
    <r>
      <rPr>
        <sz val="11"/>
        <color theme="1"/>
        <rFont val="宋体"/>
        <family val="3"/>
        <charset val="134"/>
        <scheme val="minor"/>
      </rPr>
      <t>]小值</t>
    </r>
    <phoneticPr fontId="4" type="noConversion"/>
  </si>
  <si>
    <r>
      <t>取[σ</t>
    </r>
    <r>
      <rPr>
        <vertAlign val="subscript"/>
        <sz val="11"/>
        <color theme="1"/>
        <rFont val="宋体"/>
        <family val="3"/>
        <charset val="134"/>
        <scheme val="minor"/>
      </rPr>
      <t>H</t>
    </r>
    <r>
      <rPr>
        <sz val="11"/>
        <color theme="1"/>
        <rFont val="宋体"/>
        <family val="3"/>
        <charset val="134"/>
        <scheme val="minor"/>
      </rPr>
      <t>]小值</t>
    </r>
    <phoneticPr fontId="4" type="noConversion"/>
  </si>
  <si>
    <r>
      <t>疲劳极限σ</t>
    </r>
    <r>
      <rPr>
        <vertAlign val="subscript"/>
        <sz val="14"/>
        <color theme="1"/>
        <rFont val="宋体"/>
        <family val="3"/>
        <charset val="134"/>
        <scheme val="minor"/>
      </rPr>
      <t>Hlim</t>
    </r>
    <phoneticPr fontId="4" type="noConversion"/>
  </si>
  <si>
    <r>
      <t>许用应力[σ</t>
    </r>
    <r>
      <rPr>
        <vertAlign val="subscript"/>
        <sz val="14"/>
        <color theme="1"/>
        <rFont val="宋体"/>
        <family val="3"/>
        <charset val="134"/>
        <scheme val="minor"/>
      </rPr>
      <t>H</t>
    </r>
    <r>
      <rPr>
        <sz val="11"/>
        <color theme="1"/>
        <rFont val="宋体"/>
        <family val="3"/>
        <charset val="134"/>
        <scheme val="minor"/>
      </rPr>
      <t>]</t>
    </r>
    <phoneticPr fontId="4" type="noConversion"/>
  </si>
  <si>
    <r>
      <t>寿命系数K</t>
    </r>
    <r>
      <rPr>
        <vertAlign val="subscript"/>
        <sz val="14"/>
        <color theme="1"/>
        <rFont val="宋体"/>
        <family val="3"/>
        <charset val="134"/>
        <scheme val="minor"/>
      </rPr>
      <t>N</t>
    </r>
    <phoneticPr fontId="4" type="noConversion"/>
  </si>
  <si>
    <r>
      <t>许用应力[σ</t>
    </r>
    <r>
      <rPr>
        <vertAlign val="subscript"/>
        <sz val="14"/>
        <color theme="1"/>
        <rFont val="宋体"/>
        <family val="3"/>
        <charset val="134"/>
        <scheme val="minor"/>
      </rPr>
      <t>F</t>
    </r>
    <r>
      <rPr>
        <sz val="11"/>
        <color theme="1"/>
        <rFont val="宋体"/>
        <family val="3"/>
        <charset val="134"/>
        <scheme val="minor"/>
      </rPr>
      <t>]</t>
    </r>
    <phoneticPr fontId="4" type="noConversion"/>
  </si>
  <si>
    <r>
      <t>Yfa*Ysa/[σ</t>
    </r>
    <r>
      <rPr>
        <vertAlign val="subscript"/>
        <sz val="14"/>
        <color theme="1"/>
        <rFont val="宋体"/>
        <family val="3"/>
        <charset val="134"/>
        <scheme val="minor"/>
      </rPr>
      <t>F</t>
    </r>
    <r>
      <rPr>
        <sz val="11"/>
        <color theme="1"/>
        <rFont val="宋体"/>
        <family val="3"/>
        <charset val="134"/>
        <scheme val="minor"/>
      </rPr>
      <t>]</t>
    </r>
    <phoneticPr fontId="4" type="noConversion"/>
  </si>
  <si>
    <r>
      <t>疲劳极限σ</t>
    </r>
    <r>
      <rPr>
        <vertAlign val="subscript"/>
        <sz val="14"/>
        <color theme="1"/>
        <rFont val="宋体"/>
        <family val="3"/>
        <charset val="134"/>
        <scheme val="minor"/>
      </rPr>
      <t>FE</t>
    </r>
    <phoneticPr fontId="4" type="noConversion"/>
  </si>
  <si>
    <r>
      <t>Y</t>
    </r>
    <r>
      <rPr>
        <vertAlign val="subscript"/>
        <sz val="14"/>
        <color theme="1"/>
        <rFont val="宋体"/>
        <family val="3"/>
        <charset val="134"/>
        <scheme val="minor"/>
      </rPr>
      <t>Fa</t>
    </r>
    <r>
      <rPr>
        <sz val="11"/>
        <color theme="1"/>
        <rFont val="宋体"/>
        <family val="3"/>
        <charset val="134"/>
        <scheme val="minor"/>
      </rPr>
      <t>*Y</t>
    </r>
    <r>
      <rPr>
        <vertAlign val="subscript"/>
        <sz val="14"/>
        <color theme="1"/>
        <rFont val="宋体"/>
        <family val="3"/>
        <charset val="134"/>
        <scheme val="minor"/>
      </rPr>
      <t>sa</t>
    </r>
    <phoneticPr fontId="4" type="noConversion"/>
  </si>
  <si>
    <r>
      <t>齿形系数Y</t>
    </r>
    <r>
      <rPr>
        <vertAlign val="subscript"/>
        <sz val="14"/>
        <color theme="1"/>
        <rFont val="宋体"/>
        <family val="3"/>
        <charset val="134"/>
        <scheme val="minor"/>
      </rPr>
      <t>Fa</t>
    </r>
    <phoneticPr fontId="4" type="noConversion"/>
  </si>
  <si>
    <r>
      <t>应力矫正系数Y</t>
    </r>
    <r>
      <rPr>
        <vertAlign val="subscript"/>
        <sz val="14"/>
        <color theme="1"/>
        <rFont val="宋体"/>
        <family val="3"/>
        <charset val="134"/>
        <scheme val="minor"/>
      </rPr>
      <t>sa</t>
    </r>
    <phoneticPr fontId="4" type="noConversion"/>
  </si>
  <si>
    <r>
      <t>齿宽系数Φ</t>
    </r>
    <r>
      <rPr>
        <vertAlign val="subscript"/>
        <sz val="14"/>
        <color theme="1"/>
        <rFont val="宋体"/>
        <family val="3"/>
        <charset val="134"/>
        <scheme val="minor"/>
      </rPr>
      <t>d</t>
    </r>
    <phoneticPr fontId="4" type="noConversion"/>
  </si>
  <si>
    <t>原动机</t>
    <phoneticPr fontId="4" type="noConversion"/>
  </si>
  <si>
    <t>载荷状态</t>
    <phoneticPr fontId="4" type="noConversion"/>
  </si>
  <si>
    <t>均匀平稳</t>
    <phoneticPr fontId="4" type="noConversion"/>
  </si>
  <si>
    <t>轻微冲击</t>
    <phoneticPr fontId="4" type="noConversion"/>
  </si>
  <si>
    <t>中等冲击</t>
    <phoneticPr fontId="4" type="noConversion"/>
  </si>
  <si>
    <t>严重冲击</t>
    <phoneticPr fontId="4" type="noConversion"/>
  </si>
  <si>
    <t>蒸汽机燃气轮机</t>
    <phoneticPr fontId="4" type="noConversion"/>
  </si>
  <si>
    <t>多缸内燃机</t>
    <phoneticPr fontId="4" type="noConversion"/>
  </si>
  <si>
    <t>单杠内燃机</t>
    <phoneticPr fontId="4" type="noConversion"/>
  </si>
  <si>
    <t>1~1.1</t>
    <phoneticPr fontId="4" type="noConversion"/>
  </si>
  <si>
    <t>≥2.25</t>
    <phoneticPr fontId="4" type="noConversion"/>
  </si>
  <si>
    <t>电动机</t>
    <phoneticPr fontId="4" type="noConversion"/>
  </si>
  <si>
    <t>1.1~1.3</t>
    <phoneticPr fontId="4" type="noConversion"/>
  </si>
  <si>
    <t>1.3~1.4</t>
    <phoneticPr fontId="4" type="noConversion"/>
  </si>
  <si>
    <t>1.4~1.6</t>
    <phoneticPr fontId="4" type="noConversion"/>
  </si>
  <si>
    <t>6级表面软斜齿</t>
    <phoneticPr fontId="4" type="noConversion"/>
  </si>
  <si>
    <r>
      <t>表3 齿间载荷分布K</t>
    </r>
    <r>
      <rPr>
        <vertAlign val="subscript"/>
        <sz val="14"/>
        <color theme="1"/>
        <rFont val="宋体"/>
        <family val="3"/>
        <charset val="134"/>
        <scheme val="minor"/>
      </rPr>
      <t>α</t>
    </r>
    <phoneticPr fontId="4" type="noConversion"/>
  </si>
  <si>
    <t xml:space="preserve">           </t>
    <phoneticPr fontId="4" type="noConversion"/>
  </si>
  <si>
    <r>
      <t>8</t>
    </r>
    <r>
      <rPr>
        <sz val="11"/>
        <color theme="1"/>
        <rFont val="宋体"/>
        <family val="3"/>
        <charset val="134"/>
      </rPr>
      <t>级精度直接查表；高于</t>
    </r>
    <r>
      <rPr>
        <sz val="11"/>
        <color theme="1"/>
        <rFont val="Tahoma"/>
        <family val="2"/>
        <charset val="134"/>
      </rPr>
      <t>8</t>
    </r>
    <r>
      <rPr>
        <sz val="11"/>
        <color theme="1"/>
        <rFont val="宋体"/>
        <family val="3"/>
        <charset val="134"/>
      </rPr>
      <t>级，降低</t>
    </r>
    <r>
      <rPr>
        <sz val="11"/>
        <color theme="1"/>
        <rFont val="Tahoma"/>
        <family val="2"/>
        <charset val="134"/>
      </rPr>
      <t>5%~10%</t>
    </r>
    <r>
      <rPr>
        <sz val="11"/>
        <color theme="1"/>
        <rFont val="宋体"/>
        <family val="3"/>
        <charset val="134"/>
      </rPr>
      <t>；低于</t>
    </r>
    <r>
      <rPr>
        <sz val="11"/>
        <color theme="1"/>
        <rFont val="Tahoma"/>
        <family val="2"/>
        <charset val="134"/>
      </rPr>
      <t>8</t>
    </r>
    <r>
      <rPr>
        <sz val="11"/>
        <color theme="1"/>
        <rFont val="宋体"/>
        <family val="3"/>
        <charset val="134"/>
      </rPr>
      <t>级，增加</t>
    </r>
    <r>
      <rPr>
        <sz val="11"/>
        <color theme="1"/>
        <rFont val="Tahoma"/>
        <family val="2"/>
        <charset val="134"/>
      </rPr>
      <t xml:space="preserve">5%~10%
</t>
    </r>
    <phoneticPr fontId="4" type="noConversion"/>
  </si>
  <si>
    <t>表5 齿宽系数Φd（b/d1）  注：大小齿均为硬齿面时取小值，传递功率不大时Φd可小到0.2</t>
    <phoneticPr fontId="4" type="noConversion"/>
  </si>
  <si>
    <t>齿宽b/小齿d1</t>
    <phoneticPr fontId="4" type="noConversion"/>
  </si>
  <si>
    <t>Z</t>
    <phoneticPr fontId="4" type="noConversion"/>
  </si>
  <si>
    <r>
      <t>表10 弹性影响系数Z</t>
    </r>
    <r>
      <rPr>
        <vertAlign val="subscript"/>
        <sz val="14"/>
        <color theme="1"/>
        <rFont val="宋体"/>
        <family val="3"/>
        <charset val="134"/>
        <scheme val="minor"/>
      </rPr>
      <t>E</t>
    </r>
    <r>
      <rPr>
        <sz val="11"/>
        <color theme="1"/>
        <rFont val="宋体"/>
        <family val="3"/>
        <charset val="134"/>
        <scheme val="minor"/>
      </rPr>
      <t>(MPa</t>
    </r>
    <r>
      <rPr>
        <vertAlign val="superscript"/>
        <sz val="12"/>
        <color theme="1"/>
        <rFont val="宋体"/>
        <family val="3"/>
        <charset val="134"/>
        <scheme val="minor"/>
      </rPr>
      <t>1/2</t>
    </r>
    <r>
      <rPr>
        <sz val="11"/>
        <color theme="1"/>
        <rFont val="宋体"/>
        <family val="3"/>
        <charset val="134"/>
        <scheme val="minor"/>
      </rPr>
      <t>)</t>
    </r>
    <phoneticPr fontId="4" type="noConversion"/>
  </si>
  <si>
    <t>表9</t>
    <phoneticPr fontId="4" type="noConversion"/>
  </si>
  <si>
    <t>表10</t>
    <phoneticPr fontId="4" type="noConversion"/>
  </si>
  <si>
    <r>
      <t>寿命系数K</t>
    </r>
    <r>
      <rPr>
        <vertAlign val="subscript"/>
        <sz val="14"/>
        <color theme="1"/>
        <rFont val="宋体"/>
        <family val="3"/>
        <charset val="134"/>
        <scheme val="minor"/>
      </rPr>
      <t>N</t>
    </r>
    <phoneticPr fontId="4" type="noConversion"/>
  </si>
  <si>
    <t>根据工作环境确定最小模数与最小分度圆、齿宽</t>
    <phoneticPr fontId="4" type="noConversion"/>
  </si>
  <si>
    <t>齿宽</t>
    <phoneticPr fontId="4" type="noConversion"/>
  </si>
  <si>
    <t>b=</t>
    <phoneticPr fontId="4" type="noConversion"/>
  </si>
  <si>
    <t>Φdxd1</t>
    <phoneticPr fontId="4" type="noConversion"/>
  </si>
  <si>
    <t>小齿轮一般+5~10</t>
    <phoneticPr fontId="4" type="noConversion"/>
  </si>
  <si>
    <r>
      <t>说明： 
   1）开式齿轮传动：</t>
    </r>
    <r>
      <rPr>
        <sz val="11"/>
        <color rgb="FFFF0000"/>
        <rFont val="宋体"/>
        <family val="3"/>
        <charset val="134"/>
        <scheme val="minor"/>
      </rPr>
      <t>按齿根弯曲疲劳强度设计</t>
    </r>
    <r>
      <rPr>
        <sz val="11"/>
        <color theme="1"/>
        <rFont val="宋体"/>
        <family val="3"/>
        <charset val="134"/>
        <scheme val="minor"/>
      </rPr>
      <t>公式作齿轮的设计计算，不按齿面接触疲劳强度设计公式计算，也无需用齿面接触疲劳强度校核公式进行校核。开式齿轮传动，将计算所得模数</t>
    </r>
    <r>
      <rPr>
        <sz val="11"/>
        <color rgb="FFFF0000"/>
        <rFont val="宋体"/>
        <family val="3"/>
        <charset val="134"/>
        <scheme val="minor"/>
      </rPr>
      <t>加大10%-15%（</t>
    </r>
    <r>
      <rPr>
        <sz val="11"/>
        <color theme="1"/>
        <rFont val="宋体"/>
        <family val="3"/>
        <charset val="134"/>
        <scheme val="minor"/>
      </rPr>
      <t>考虑磨损影响。传递动力的齿轮模数</t>
    </r>
    <r>
      <rPr>
        <sz val="11"/>
        <color rgb="FFFF0000"/>
        <rFont val="宋体"/>
        <family val="3"/>
        <charset val="134"/>
        <scheme val="minor"/>
      </rPr>
      <t>一般不小于1.5-2mm</t>
    </r>
    <r>
      <rPr>
        <sz val="11"/>
        <color theme="1"/>
        <rFont val="宋体"/>
        <family val="3"/>
        <charset val="134"/>
        <scheme val="minor"/>
      </rPr>
      <t xml:space="preserve">（以防意外断齿）.
    2）闭式齿轮传动：
    方法一：
    软齿面(＜350HB/38HRC)闭式齿轮传动传动，接触疲劳点蚀是主要失效形式，计算时先按齿面接触疲劳强度设计公式求出小齿轮直径d1和接触齿宽b，再用齿根弯曲疲劳强度校核公式进行校核。
    硬齿面(＞350HB/38HRC)闭式齿轮传动计算时先按齿根弯曲疲劳强度设计公式求出模数m和接触齿宽b，再用齿面接触疲劳强度校核公式进行校核。
    方法二：
    </t>
    </r>
    <r>
      <rPr>
        <sz val="11"/>
        <color rgb="FFFF0000"/>
        <rFont val="宋体"/>
        <family val="3"/>
        <charset val="134"/>
        <scheme val="minor"/>
      </rPr>
      <t>不论软硬齿面都分别按弯曲疲劳强度设计公式求出模数m,按接触疲劳强度设计公式求出小齿轮分度圆直径d1</t>
    </r>
    <r>
      <rPr>
        <sz val="11"/>
        <color theme="1"/>
        <rFont val="宋体"/>
        <family val="3"/>
        <charset val="134"/>
        <scheme val="minor"/>
      </rPr>
      <t>，再按d1=mZ1调整齿数Z1。与方法一相比，这样设计出的齿轮传动，既刚好满足接触疲劳强度，又刚好满足弯曲疲劳强度，所以结构紧凑，避免浪费</t>
    </r>
    <phoneticPr fontId="4" type="noConversion"/>
  </si>
  <si>
    <t>手动分割线</t>
    <phoneticPr fontId="4" type="noConversion"/>
  </si>
  <si>
    <t xml:space="preserve">直齿,5级斜齿
 6级表面软斜齿
</t>
    <phoneticPr fontId="4" type="noConversion"/>
  </si>
  <si>
    <t>6级表面硬斜齿
 7级表面软斜齿</t>
    <phoneticPr fontId="4" type="noConversion"/>
  </si>
  <si>
    <t>7级表面硬斜齿
 8级表面软斜齿</t>
    <phoneticPr fontId="4" type="noConversion"/>
  </si>
  <si>
    <t>班次*班时*天数*年限</t>
    <phoneticPr fontId="4" type="noConversion"/>
  </si>
  <si>
    <t>直齿轮为0</t>
    <phoneticPr fontId="4" type="noConversion"/>
  </si>
  <si>
    <t>斜齿轮螺旋角β(推荐8~20°)</t>
    <phoneticPr fontId="4" type="noConversion"/>
  </si>
  <si>
    <r>
      <t>斜齿轮纵向重合度ε</t>
    </r>
    <r>
      <rPr>
        <vertAlign val="subscript"/>
        <sz val="14"/>
        <color theme="1"/>
        <rFont val="宋体"/>
        <family val="3"/>
        <charset val="134"/>
        <scheme val="minor"/>
      </rPr>
      <t>β</t>
    </r>
    <phoneticPr fontId="4" type="noConversion"/>
  </si>
  <si>
    <r>
      <t>斜齿轮端面重合系数ε</t>
    </r>
    <r>
      <rPr>
        <vertAlign val="subscript"/>
        <sz val="14"/>
        <color theme="1"/>
        <rFont val="宋体"/>
        <family val="3"/>
        <charset val="134"/>
        <scheme val="minor"/>
      </rPr>
      <t>α</t>
    </r>
    <phoneticPr fontId="4" type="noConversion"/>
  </si>
  <si>
    <t>压力角α</t>
    <phoneticPr fontId="4" type="noConversion"/>
  </si>
  <si>
    <t>一般为20</t>
    <phoneticPr fontId="4" type="noConversion"/>
  </si>
  <si>
    <t>最小模数m</t>
    <phoneticPr fontId="4" type="noConversion"/>
  </si>
  <si>
    <t>公式很打脑壳</t>
    <phoneticPr fontId="4" type="noConversion"/>
  </si>
  <si>
    <t>7级表面硬斜齿
 8级表面软斜齿</t>
  </si>
  <si>
    <t>齿数z</t>
    <phoneticPr fontId="4" type="noConversion"/>
  </si>
  <si>
    <r>
      <t>斜齿轮当量齿数Z</t>
    </r>
    <r>
      <rPr>
        <vertAlign val="subscript"/>
        <sz val="14"/>
        <color theme="1"/>
        <rFont val="宋体"/>
        <family val="3"/>
        <charset val="134"/>
        <scheme val="minor"/>
      </rPr>
      <t>V</t>
    </r>
    <phoneticPr fontId="4" type="noConversion"/>
  </si>
  <si>
    <r>
      <t>弹性影响系数Z</t>
    </r>
    <r>
      <rPr>
        <vertAlign val="subscript"/>
        <sz val="14"/>
        <color theme="1"/>
        <rFont val="宋体"/>
        <family val="3"/>
        <charset val="134"/>
        <scheme val="minor"/>
      </rPr>
      <t>E</t>
    </r>
    <r>
      <rPr>
        <sz val="11"/>
        <color theme="1"/>
        <rFont val="宋体"/>
        <family val="3"/>
        <charset val="134"/>
        <scheme val="minor"/>
      </rPr>
      <t>(MPa</t>
    </r>
    <r>
      <rPr>
        <vertAlign val="superscript"/>
        <sz val="12"/>
        <color theme="1"/>
        <rFont val="宋体"/>
        <family val="3"/>
        <charset val="134"/>
        <scheme val="minor"/>
      </rPr>
      <t>1/2</t>
    </r>
    <r>
      <rPr>
        <sz val="11"/>
        <color theme="1"/>
        <rFont val="宋体"/>
        <family val="3"/>
        <charset val="134"/>
        <scheme val="minor"/>
      </rPr>
      <t>)</t>
    </r>
    <phoneticPr fontId="4" type="noConversion"/>
  </si>
  <si>
    <r>
      <t>说明：
对于受扭转轴的校核分为</t>
    </r>
    <r>
      <rPr>
        <sz val="12"/>
        <color rgb="FFFF0000"/>
        <rFont val="宋体"/>
        <family val="3"/>
        <charset val="134"/>
        <scheme val="minor"/>
      </rPr>
      <t>扭转强度校核和刚度校核</t>
    </r>
    <r>
      <rPr>
        <sz val="12"/>
        <color theme="1"/>
        <rFont val="宋体"/>
        <family val="3"/>
        <charset val="134"/>
        <scheme val="minor"/>
      </rPr>
      <t xml:space="preserve">
</t>
    </r>
    <r>
      <rPr>
        <sz val="12"/>
        <color rgb="FFFF0000"/>
        <rFont val="宋体"/>
        <family val="3"/>
        <charset val="134"/>
        <scheme val="minor"/>
      </rPr>
      <t>1，扭转强度校核公式：τ=T/Wt≤[τ]</t>
    </r>
    <r>
      <rPr>
        <sz val="12"/>
        <color theme="1"/>
        <rFont val="宋体"/>
        <family val="3"/>
        <charset val="134"/>
        <scheme val="minor"/>
      </rPr>
      <t xml:space="preserve">
其中τ的量纲Mpa（N/mm²）,T=Mn为转矩,量纲N.mm，Wt为扭转截面系数,量纲mm³，可查询机械设计手册第5版3-105或通过以下公式计算得到：
</t>
    </r>
    <r>
      <rPr>
        <sz val="12"/>
        <color rgb="FFFF0000"/>
        <rFont val="宋体"/>
        <family val="3"/>
        <charset val="134"/>
        <scheme val="minor"/>
      </rPr>
      <t>实心轴：Wt=πd³/16；空心轴：Wt=π(D</t>
    </r>
    <r>
      <rPr>
        <vertAlign val="superscript"/>
        <sz val="12"/>
        <color rgb="FFFF0000"/>
        <rFont val="宋体"/>
        <family val="3"/>
        <charset val="134"/>
        <scheme val="minor"/>
      </rPr>
      <t>4</t>
    </r>
    <r>
      <rPr>
        <sz val="12"/>
        <color rgb="FFFF0000"/>
        <rFont val="宋体"/>
        <family val="3"/>
        <charset val="134"/>
        <scheme val="minor"/>
      </rPr>
      <t>-d</t>
    </r>
    <r>
      <rPr>
        <vertAlign val="superscript"/>
        <sz val="12"/>
        <color rgb="FFFF0000"/>
        <rFont val="宋体"/>
        <family val="3"/>
        <charset val="134"/>
        <scheme val="minor"/>
      </rPr>
      <t>4</t>
    </r>
    <r>
      <rPr>
        <sz val="12"/>
        <color rgb="FFFF0000"/>
        <rFont val="宋体"/>
        <family val="3"/>
        <charset val="134"/>
        <scheme val="minor"/>
      </rPr>
      <t>)/(16*D)</t>
    </r>
    <r>
      <rPr>
        <sz val="12"/>
        <color theme="1"/>
        <rFont val="宋体"/>
        <family val="3"/>
        <charset val="134"/>
        <scheme val="minor"/>
      </rPr>
      <t xml:space="preserve">
</t>
    </r>
    <r>
      <rPr>
        <sz val="12"/>
        <color rgb="FFFF0000"/>
        <rFont val="宋体"/>
        <family val="3"/>
        <charset val="134"/>
        <scheme val="minor"/>
      </rPr>
      <t xml:space="preserve">
2，刚度校核校核公式:φ=(180/π)*T/(G*Ip）≤[φ]</t>
    </r>
    <r>
      <rPr>
        <sz val="12"/>
        <color theme="1"/>
        <rFont val="宋体"/>
        <family val="3"/>
        <charset val="134"/>
        <scheme val="minor"/>
      </rPr>
      <t xml:space="preserve">
其中G*Ip为扭转刚度，G为切变模量是量纲为GPa的常量，碳钢均为81GPa（81KN/mm²），Ip为极惯性矩，通过CAD或SW草图模块画出截面可以查询到，量纲为mm^4,也可通过公示计算
</t>
    </r>
    <r>
      <rPr>
        <sz val="12"/>
        <color rgb="FFFF0000"/>
        <rFont val="宋体"/>
        <family val="3"/>
        <charset val="134"/>
        <scheme val="minor"/>
      </rPr>
      <t>实心轴：Ip=πd</t>
    </r>
    <r>
      <rPr>
        <vertAlign val="superscript"/>
        <sz val="12"/>
        <color rgb="FFFF0000"/>
        <rFont val="宋体"/>
        <family val="3"/>
        <charset val="134"/>
        <scheme val="minor"/>
      </rPr>
      <t>4</t>
    </r>
    <r>
      <rPr>
        <sz val="12"/>
        <color rgb="FFFF0000"/>
        <rFont val="宋体"/>
        <family val="3"/>
        <charset val="134"/>
        <scheme val="minor"/>
      </rPr>
      <t>/32；空心轴：Ip=π(D</t>
    </r>
    <r>
      <rPr>
        <vertAlign val="superscript"/>
        <sz val="12"/>
        <color rgb="FFFF0000"/>
        <rFont val="宋体"/>
        <family val="3"/>
        <charset val="134"/>
        <scheme val="minor"/>
      </rPr>
      <t>4</t>
    </r>
    <r>
      <rPr>
        <sz val="12"/>
        <color rgb="FFFF0000"/>
        <rFont val="宋体"/>
        <family val="3"/>
        <charset val="134"/>
        <scheme val="minor"/>
      </rPr>
      <t>-d</t>
    </r>
    <r>
      <rPr>
        <vertAlign val="superscript"/>
        <sz val="12"/>
        <color rgb="FFFF0000"/>
        <rFont val="宋体"/>
        <family val="3"/>
        <charset val="134"/>
        <scheme val="minor"/>
      </rPr>
      <t>4</t>
    </r>
    <r>
      <rPr>
        <sz val="12"/>
        <color rgb="FFFF0000"/>
        <rFont val="宋体"/>
        <family val="3"/>
        <charset val="134"/>
        <scheme val="minor"/>
      </rPr>
      <t>)/32</t>
    </r>
    <r>
      <rPr>
        <sz val="12"/>
        <color theme="1"/>
        <rFont val="宋体"/>
        <family val="3"/>
        <charset val="134"/>
        <scheme val="minor"/>
      </rPr>
      <t xml:space="preserve">
</t>
    </r>
    <phoneticPr fontId="4" type="noConversion"/>
  </si>
  <si>
    <t>7级精度</t>
  </si>
  <si>
    <t>附录1 各类机器所用齿轮传动的精度等级</t>
    <phoneticPr fontId="4" type="noConversion"/>
  </si>
  <si>
    <r>
      <t>附录2 齿形系数Y</t>
    </r>
    <r>
      <rPr>
        <vertAlign val="subscript"/>
        <sz val="14"/>
        <color theme="1"/>
        <rFont val="宋体"/>
        <family val="3"/>
        <charset val="134"/>
        <scheme val="minor"/>
      </rPr>
      <t>Fa</t>
    </r>
    <r>
      <rPr>
        <sz val="11"/>
        <color theme="1"/>
        <rFont val="宋体"/>
        <family val="3"/>
        <charset val="134"/>
        <scheme val="minor"/>
      </rPr>
      <t>和应力矫正系数Y</t>
    </r>
    <r>
      <rPr>
        <vertAlign val="subscript"/>
        <sz val="14"/>
        <color theme="1"/>
        <rFont val="宋体"/>
        <family val="3"/>
        <charset val="134"/>
        <scheme val="minor"/>
      </rPr>
      <t>sa</t>
    </r>
    <phoneticPr fontId="4" type="noConversion"/>
  </si>
  <si>
    <t>附录3 所用公式一栏</t>
    <phoneticPr fontId="4" type="noConversion"/>
  </si>
  <si>
    <t>按齿根弯曲疲劳强度计算最小模数</t>
    <phoneticPr fontId="4" type="noConversion"/>
  </si>
  <si>
    <t>按齿面接触疲劳强度计算最小分度圆</t>
    <phoneticPr fontId="4" type="noConversion"/>
  </si>
  <si>
    <t>按齿根弯曲疲劳强度计算</t>
    <phoneticPr fontId="4" type="noConversion"/>
  </si>
  <si>
    <t>按齿面接触疲劳强度计算</t>
    <phoneticPr fontId="4" type="noConversion"/>
  </si>
  <si>
    <t>最小模数m</t>
    <phoneticPr fontId="4" type="noConversion"/>
  </si>
  <si>
    <t>最小分度圆d1</t>
    <phoneticPr fontId="4" type="noConversion"/>
  </si>
  <si>
    <t>S取1.5</t>
    <phoneticPr fontId="4" type="noConversion"/>
  </si>
  <si>
    <t>S取1</t>
    <phoneticPr fontId="4" type="noConversion"/>
  </si>
  <si>
    <r>
      <t>[σ</t>
    </r>
    <r>
      <rPr>
        <vertAlign val="subscript"/>
        <sz val="14"/>
        <color theme="1"/>
        <rFont val="宋体"/>
        <family val="3"/>
        <charset val="134"/>
        <scheme val="minor"/>
      </rPr>
      <t>F</t>
    </r>
    <r>
      <rPr>
        <sz val="11"/>
        <color theme="1"/>
        <rFont val="宋体"/>
        <family val="3"/>
        <charset val="134"/>
        <scheme val="minor"/>
      </rPr>
      <t>]=K</t>
    </r>
    <r>
      <rPr>
        <vertAlign val="subscript"/>
        <sz val="14"/>
        <color theme="1"/>
        <rFont val="宋体"/>
        <family val="3"/>
        <charset val="134"/>
        <scheme val="minor"/>
      </rPr>
      <t>N</t>
    </r>
    <r>
      <rPr>
        <sz val="11"/>
        <color theme="1"/>
        <rFont val="宋体"/>
        <family val="3"/>
        <charset val="134"/>
        <scheme val="minor"/>
      </rPr>
      <t>*σ</t>
    </r>
    <r>
      <rPr>
        <vertAlign val="subscript"/>
        <sz val="14"/>
        <color theme="1"/>
        <rFont val="宋体"/>
        <family val="3"/>
        <charset val="134"/>
        <scheme val="minor"/>
      </rPr>
      <t>FE</t>
    </r>
    <r>
      <rPr>
        <sz val="11"/>
        <color theme="1"/>
        <rFont val="宋体"/>
        <family val="3"/>
        <charset val="134"/>
        <scheme val="minor"/>
      </rPr>
      <t>/S</t>
    </r>
    <phoneticPr fontId="4" type="noConversion"/>
  </si>
  <si>
    <r>
      <t>[σ</t>
    </r>
    <r>
      <rPr>
        <vertAlign val="subscript"/>
        <sz val="11"/>
        <color theme="1"/>
        <rFont val="宋体"/>
        <family val="3"/>
        <charset val="134"/>
        <scheme val="minor"/>
      </rPr>
      <t>H</t>
    </r>
    <r>
      <rPr>
        <sz val="11"/>
        <color theme="1"/>
        <rFont val="宋体"/>
        <family val="3"/>
        <charset val="134"/>
        <scheme val="minor"/>
      </rPr>
      <t>]=K</t>
    </r>
    <r>
      <rPr>
        <vertAlign val="subscript"/>
        <sz val="14"/>
        <color theme="1"/>
        <rFont val="宋体"/>
        <family val="3"/>
        <charset val="134"/>
        <scheme val="minor"/>
      </rPr>
      <t>N</t>
    </r>
    <r>
      <rPr>
        <sz val="11"/>
        <color theme="1"/>
        <rFont val="宋体"/>
        <family val="3"/>
        <charset val="134"/>
        <scheme val="minor"/>
      </rPr>
      <t>*σ</t>
    </r>
    <r>
      <rPr>
        <vertAlign val="subscript"/>
        <sz val="14"/>
        <color theme="1"/>
        <rFont val="宋体"/>
        <family val="3"/>
        <charset val="134"/>
        <scheme val="minor"/>
      </rPr>
      <t>Hlim</t>
    </r>
    <r>
      <rPr>
        <sz val="11"/>
        <color theme="1"/>
        <rFont val="宋体"/>
        <family val="3"/>
        <charset val="134"/>
        <scheme val="minor"/>
      </rPr>
      <t>/S</t>
    </r>
    <phoneticPr fontId="4" type="noConversion"/>
  </si>
  <si>
    <t>许用应力[σF]</t>
    <phoneticPr fontId="4" type="noConversion"/>
  </si>
  <si>
    <t>许用应力[σH]</t>
    <phoneticPr fontId="4" type="noConversion"/>
  </si>
  <si>
    <t>类别</t>
    <phoneticPr fontId="4" type="noConversion"/>
  </si>
  <si>
    <t>项目</t>
    <phoneticPr fontId="4" type="noConversion"/>
  </si>
  <si>
    <t>公式</t>
    <phoneticPr fontId="4" type="noConversion"/>
  </si>
  <si>
    <t>备注</t>
    <phoneticPr fontId="4" type="noConversion"/>
  </si>
  <si>
    <r>
      <t>0.318*Φd*Z</t>
    </r>
    <r>
      <rPr>
        <vertAlign val="subscript"/>
        <sz val="12"/>
        <color theme="1"/>
        <rFont val="宋体"/>
        <family val="3"/>
        <charset val="134"/>
        <scheme val="minor"/>
      </rPr>
      <t>1</t>
    </r>
    <r>
      <rPr>
        <sz val="10"/>
        <color theme="1"/>
        <rFont val="宋体"/>
        <family val="3"/>
        <charset val="134"/>
        <scheme val="minor"/>
      </rPr>
      <t>*tanβ</t>
    </r>
    <phoneticPr fontId="4" type="noConversion"/>
  </si>
  <si>
    <r>
      <t>端面重合度ε</t>
    </r>
    <r>
      <rPr>
        <vertAlign val="subscript"/>
        <sz val="14"/>
        <color theme="1"/>
        <rFont val="宋体"/>
        <family val="3"/>
        <charset val="134"/>
        <scheme val="minor"/>
      </rPr>
      <t>α</t>
    </r>
    <phoneticPr fontId="4" type="noConversion"/>
  </si>
  <si>
    <r>
      <t>Y</t>
    </r>
    <r>
      <rPr>
        <vertAlign val="subscript"/>
        <sz val="14"/>
        <color theme="1"/>
        <rFont val="宋体"/>
        <family val="3"/>
        <charset val="134"/>
        <scheme val="minor"/>
      </rPr>
      <t>Fs</t>
    </r>
    <r>
      <rPr>
        <sz val="11"/>
        <color theme="1"/>
        <rFont val="宋体"/>
        <family val="3"/>
        <charset val="134"/>
        <scheme val="minor"/>
      </rPr>
      <t>和Y</t>
    </r>
    <r>
      <rPr>
        <vertAlign val="subscript"/>
        <sz val="14"/>
        <color theme="1"/>
        <rFont val="宋体"/>
        <family val="3"/>
        <charset val="134"/>
        <scheme val="minor"/>
      </rPr>
      <t>Sa</t>
    </r>
    <r>
      <rPr>
        <sz val="11"/>
        <color theme="1"/>
        <rFont val="宋体"/>
        <family val="3"/>
        <charset val="134"/>
        <scheme val="minor"/>
      </rPr>
      <t>按照当量齿数计算，</t>
    </r>
    <phoneticPr fontId="4" type="noConversion"/>
  </si>
  <si>
    <t>圆柱直齿轮</t>
    <phoneticPr fontId="4" type="noConversion"/>
  </si>
  <si>
    <t>圆柱斜齿轮</t>
    <phoneticPr fontId="4" type="noConversion"/>
  </si>
  <si>
    <r>
      <t>纵向重合度ε</t>
    </r>
    <r>
      <rPr>
        <vertAlign val="subscript"/>
        <sz val="14"/>
        <color theme="1"/>
        <rFont val="宋体"/>
        <family val="3"/>
        <charset val="134"/>
        <scheme val="minor"/>
      </rPr>
      <t>β</t>
    </r>
    <phoneticPr fontId="4" type="noConversion"/>
  </si>
  <si>
    <r>
      <t>斜齿轮螺旋角影响系数Y</t>
    </r>
    <r>
      <rPr>
        <vertAlign val="subscript"/>
        <sz val="14"/>
        <color theme="1"/>
        <rFont val="宋体"/>
        <family val="3"/>
        <charset val="134"/>
        <scheme val="minor"/>
      </rPr>
      <t>β</t>
    </r>
    <phoneticPr fontId="4" type="noConversion"/>
  </si>
  <si>
    <r>
      <t xml:space="preserve">    查询螺旋角影响
    系数Y</t>
    </r>
    <r>
      <rPr>
        <vertAlign val="subscript"/>
        <sz val="14"/>
        <color theme="1"/>
        <rFont val="宋体"/>
        <family val="3"/>
        <charset val="134"/>
        <scheme val="minor"/>
      </rPr>
      <t>β</t>
    </r>
    <r>
      <rPr>
        <sz val="11"/>
        <color theme="1"/>
        <rFont val="宋体"/>
        <family val="3"/>
        <charset val="134"/>
        <scheme val="minor"/>
      </rPr>
      <t>需要</t>
    </r>
    <phoneticPr fontId="4" type="noConversion"/>
  </si>
  <si>
    <t>表2 动载系数Kv(锥形齿按低一级精度选取)（v=10）    v=πd1n1/60/1000</t>
    <phoneticPr fontId="4" type="noConversion"/>
  </si>
  <si>
    <r>
      <t>表4 齿向载荷分布K</t>
    </r>
    <r>
      <rPr>
        <vertAlign val="subscript"/>
        <sz val="14"/>
        <color theme="1"/>
        <rFont val="宋体"/>
        <family val="3"/>
        <charset val="134"/>
        <scheme val="minor"/>
      </rPr>
      <t>β</t>
    </r>
    <r>
      <rPr>
        <sz val="11"/>
        <color theme="1"/>
        <rFont val="宋体"/>
        <family val="3"/>
        <charset val="134"/>
        <scheme val="minor"/>
      </rPr>
      <t>（8级精度）</t>
    </r>
    <phoneticPr fontId="4" type="noConversion"/>
  </si>
  <si>
    <t>圆柱齿轮强度计算与校核</t>
    <phoneticPr fontId="4" type="noConversion"/>
  </si>
  <si>
    <t>圆锥齿轮强度计算与校核</t>
    <phoneticPr fontId="4" type="noConversion"/>
  </si>
  <si>
    <r>
      <t>载荷分布系数
K=K</t>
    </r>
    <r>
      <rPr>
        <vertAlign val="subscript"/>
        <sz val="14"/>
        <color theme="1"/>
        <rFont val="宋体"/>
        <family val="3"/>
        <charset val="134"/>
        <scheme val="minor"/>
      </rPr>
      <t>A</t>
    </r>
    <r>
      <rPr>
        <sz val="11"/>
        <color theme="1"/>
        <rFont val="宋体"/>
        <family val="3"/>
        <charset val="134"/>
        <scheme val="minor"/>
      </rPr>
      <t>*K</t>
    </r>
    <r>
      <rPr>
        <vertAlign val="subscript"/>
        <sz val="14"/>
        <color theme="1"/>
        <rFont val="宋体"/>
        <family val="3"/>
        <charset val="134"/>
        <scheme val="minor"/>
      </rPr>
      <t>V</t>
    </r>
    <r>
      <rPr>
        <sz val="11"/>
        <color theme="1"/>
        <rFont val="宋体"/>
        <family val="3"/>
        <charset val="134"/>
        <scheme val="minor"/>
      </rPr>
      <t>*K</t>
    </r>
    <r>
      <rPr>
        <vertAlign val="subscript"/>
        <sz val="14"/>
        <color theme="1"/>
        <rFont val="宋体"/>
        <family val="3"/>
        <charset val="134"/>
        <scheme val="minor"/>
      </rPr>
      <t>α</t>
    </r>
    <r>
      <rPr>
        <sz val="11"/>
        <color theme="1"/>
        <rFont val="宋体"/>
        <family val="3"/>
        <charset val="134"/>
        <scheme val="minor"/>
      </rPr>
      <t>*K</t>
    </r>
    <r>
      <rPr>
        <vertAlign val="subscript"/>
        <sz val="14"/>
        <color theme="1"/>
        <rFont val="宋体"/>
        <family val="3"/>
        <charset val="134"/>
        <scheme val="minor"/>
      </rPr>
      <t>β</t>
    </r>
    <r>
      <rPr>
        <sz val="11"/>
        <color theme="1"/>
        <rFont val="宋体"/>
        <family val="3"/>
        <charset val="134"/>
        <scheme val="minor"/>
      </rPr>
      <t xml:space="preserve">
=</t>
    </r>
    <phoneticPr fontId="4" type="noConversion"/>
  </si>
  <si>
    <r>
      <t>K</t>
    </r>
    <r>
      <rPr>
        <vertAlign val="subscript"/>
        <sz val="11"/>
        <color theme="1"/>
        <rFont val="宋体"/>
        <family val="3"/>
        <charset val="134"/>
        <scheme val="minor"/>
      </rPr>
      <t>Fα</t>
    </r>
    <r>
      <rPr>
        <sz val="11"/>
        <color theme="1"/>
        <rFont val="宋体"/>
        <family val="3"/>
        <charset val="134"/>
        <scheme val="minor"/>
      </rPr>
      <t>=K</t>
    </r>
    <r>
      <rPr>
        <vertAlign val="subscript"/>
        <sz val="11"/>
        <color theme="1"/>
        <rFont val="宋体"/>
        <family val="3"/>
        <charset val="134"/>
        <scheme val="minor"/>
      </rPr>
      <t>Hα</t>
    </r>
    <r>
      <rPr>
        <sz val="11"/>
        <color theme="1"/>
        <rFont val="宋体"/>
        <family val="3"/>
        <charset val="134"/>
        <scheme val="minor"/>
      </rPr>
      <t>=1</t>
    </r>
    <phoneticPr fontId="4" type="noConversion"/>
  </si>
  <si>
    <t>8级精度</t>
  </si>
  <si>
    <t xml:space="preserve">      支撑方式
应用领域</t>
    <phoneticPr fontId="4" type="noConversion"/>
  </si>
  <si>
    <t>小轮和大轮的支撑</t>
    <phoneticPr fontId="4" type="noConversion"/>
  </si>
  <si>
    <t>均为两端支撑</t>
    <phoneticPr fontId="4" type="noConversion"/>
  </si>
  <si>
    <t>均为悬臂</t>
    <phoneticPr fontId="4" type="noConversion"/>
  </si>
  <si>
    <t>汽车、飞机</t>
    <phoneticPr fontId="4" type="noConversion"/>
  </si>
  <si>
    <t>工业、船舶</t>
    <phoneticPr fontId="4" type="noConversion"/>
  </si>
  <si>
    <t>一两端、一悬臂</t>
    <phoneticPr fontId="4" type="noConversion"/>
  </si>
  <si>
    <t>表3</t>
    <phoneticPr fontId="4" type="noConversion"/>
  </si>
  <si>
    <r>
      <t>齿宽系数Φ</t>
    </r>
    <r>
      <rPr>
        <vertAlign val="subscript"/>
        <sz val="14"/>
        <color theme="1"/>
        <rFont val="宋体"/>
        <family val="3"/>
        <charset val="134"/>
        <scheme val="minor"/>
      </rPr>
      <t>R</t>
    </r>
    <phoneticPr fontId="4" type="noConversion"/>
  </si>
  <si>
    <t>齿宽b/锥距R</t>
    <phoneticPr fontId="4" type="noConversion"/>
  </si>
  <si>
    <t>0.25~0.35，通常取1/3</t>
    <phoneticPr fontId="4" type="noConversion"/>
  </si>
  <si>
    <t>tanδ1=Z1/Z2</t>
    <phoneticPr fontId="4" type="noConversion"/>
  </si>
  <si>
    <t>分锥角δ(°)</t>
    <phoneticPr fontId="4" type="noConversion"/>
  </si>
  <si>
    <r>
      <t>斜齿轮当量齿数Z</t>
    </r>
    <r>
      <rPr>
        <vertAlign val="subscript"/>
        <sz val="14"/>
        <color theme="1"/>
        <rFont val="宋体"/>
        <family val="3"/>
        <charset val="134"/>
        <scheme val="minor"/>
      </rPr>
      <t>v</t>
    </r>
    <phoneticPr fontId="4" type="noConversion"/>
  </si>
  <si>
    <t>Zv=Z/cosδ</t>
    <phoneticPr fontId="4" type="noConversion"/>
  </si>
  <si>
    <t>表3 齿向载荷分布Kβ</t>
    <phoneticPr fontId="4" type="noConversion"/>
  </si>
  <si>
    <r>
      <t>表4 弯曲疲劳寿命系数K</t>
    </r>
    <r>
      <rPr>
        <vertAlign val="subscript"/>
        <sz val="14"/>
        <color theme="1"/>
        <rFont val="宋体"/>
        <family val="3"/>
        <charset val="134"/>
        <scheme val="minor"/>
      </rPr>
      <t>FN</t>
    </r>
    <r>
      <rPr>
        <sz val="11"/>
        <color theme="1"/>
        <rFont val="宋体"/>
        <family val="3"/>
        <charset val="134"/>
        <scheme val="minor"/>
      </rPr>
      <t xml:space="preserve"> </t>
    </r>
    <phoneticPr fontId="4" type="noConversion"/>
  </si>
  <si>
    <r>
      <t>表5 接触疲劳寿命系数K</t>
    </r>
    <r>
      <rPr>
        <vertAlign val="subscript"/>
        <sz val="14"/>
        <color theme="1"/>
        <rFont val="宋体"/>
        <family val="3"/>
        <charset val="134"/>
        <scheme val="minor"/>
      </rPr>
      <t>HN</t>
    </r>
    <phoneticPr fontId="4" type="noConversion"/>
  </si>
  <si>
    <r>
      <t>表7 接触疲劳强度极限σ</t>
    </r>
    <r>
      <rPr>
        <vertAlign val="subscript"/>
        <sz val="14"/>
        <color theme="1"/>
        <rFont val="宋体"/>
        <family val="3"/>
        <charset val="134"/>
        <scheme val="minor"/>
      </rPr>
      <t>Hlim</t>
    </r>
    <phoneticPr fontId="4" type="noConversion"/>
  </si>
  <si>
    <r>
      <t>表8 弹性影响系数Z</t>
    </r>
    <r>
      <rPr>
        <vertAlign val="subscript"/>
        <sz val="14"/>
        <color theme="1"/>
        <rFont val="宋体"/>
        <family val="3"/>
        <charset val="134"/>
        <scheme val="minor"/>
      </rPr>
      <t>E</t>
    </r>
    <r>
      <rPr>
        <sz val="11"/>
        <color theme="1"/>
        <rFont val="宋体"/>
        <family val="3"/>
        <charset val="134"/>
        <scheme val="minor"/>
      </rPr>
      <t>(MPa</t>
    </r>
    <r>
      <rPr>
        <vertAlign val="superscript"/>
        <sz val="12"/>
        <color theme="1"/>
        <rFont val="宋体"/>
        <family val="3"/>
        <charset val="134"/>
        <scheme val="minor"/>
      </rPr>
      <t>1/2</t>
    </r>
    <r>
      <rPr>
        <sz val="11"/>
        <color theme="1"/>
        <rFont val="宋体"/>
        <family val="3"/>
        <charset val="134"/>
        <scheme val="minor"/>
      </rPr>
      <t>)</t>
    </r>
    <phoneticPr fontId="4" type="noConversion"/>
  </si>
  <si>
    <t>表6中ML与MQ</t>
    <phoneticPr fontId="4" type="noConversion"/>
  </si>
  <si>
    <t>表8</t>
    <phoneticPr fontId="4" type="noConversion"/>
  </si>
  <si>
    <t>锥齿轮最小模数m</t>
    <phoneticPr fontId="4" type="noConversion"/>
  </si>
  <si>
    <t>最小分度圆d1</t>
    <phoneticPr fontId="4" type="noConversion"/>
  </si>
  <si>
    <t>锥齿轮最小分度圆d1</t>
    <phoneticPr fontId="4" type="noConversion"/>
  </si>
  <si>
    <r>
      <t>表6 弯曲疲劳强度极限σ</t>
    </r>
    <r>
      <rPr>
        <vertAlign val="subscript"/>
        <sz val="14"/>
        <color theme="1"/>
        <rFont val="宋体"/>
        <family val="3"/>
        <charset val="134"/>
        <scheme val="minor"/>
      </rPr>
      <t>FE</t>
    </r>
    <r>
      <rPr>
        <sz val="11"/>
        <color theme="1"/>
        <rFont val="宋体"/>
        <family val="3"/>
        <charset val="134"/>
      </rPr>
      <t/>
    </r>
    <phoneticPr fontId="4" type="noConversion"/>
  </si>
  <si>
    <t>表7中ML与MQ</t>
    <phoneticPr fontId="4" type="noConversion"/>
  </si>
  <si>
    <t>根据工作环境确定最小模数与最小分度圆</t>
    <phoneticPr fontId="4" type="noConversion"/>
  </si>
  <si>
    <t xml:space="preserve">文档信息
编写：图惜
参考：《机械设计——第八版》——蒲良贵、纪名刚
      《机械设计手册——第五版第三卷》——成大先
                                                 2018.7.27
更新日志：
  </t>
    <phoneticPr fontId="4" type="noConversion"/>
  </si>
  <si>
    <t>公式见附录</t>
    <phoneticPr fontId="4" type="noConversion"/>
  </si>
  <si>
    <t>公式见附录</t>
    <phoneticPr fontId="4" type="noConversion"/>
  </si>
  <si>
    <t>附录 所用公式</t>
    <phoneticPr fontId="4" type="noConversion"/>
  </si>
  <si>
    <t xml:space="preserve">     按齿根弯曲
     疲劳强度计
     算</t>
    <phoneticPr fontId="4" type="noConversion"/>
  </si>
  <si>
    <t>按齿面接触
疲劳强度计
算</t>
    <phoneticPr fontId="4" type="noConversion"/>
  </si>
  <si>
    <r>
      <t>斜齿轮区域系数Z</t>
    </r>
    <r>
      <rPr>
        <vertAlign val="subscript"/>
        <sz val="14"/>
        <color theme="1"/>
        <rFont val="宋体"/>
        <family val="3"/>
        <charset val="134"/>
        <scheme val="minor"/>
      </rPr>
      <t>H</t>
    </r>
    <r>
      <rPr>
        <sz val="11"/>
        <color theme="1"/>
        <rFont val="宋体"/>
        <family val="3"/>
        <charset val="134"/>
        <scheme val="minor"/>
      </rPr>
      <t>（α=20°时）</t>
    </r>
    <phoneticPr fontId="4" type="noConversion"/>
  </si>
  <si>
    <r>
      <t>Zv=Zcos</t>
    </r>
    <r>
      <rPr>
        <vertAlign val="superscript"/>
        <sz val="12"/>
        <color theme="1"/>
        <rFont val="宋体"/>
        <family val="3"/>
        <charset val="134"/>
        <scheme val="minor"/>
      </rPr>
      <t>3</t>
    </r>
    <r>
      <rPr>
        <sz val="11"/>
        <color theme="1"/>
        <rFont val="宋体"/>
        <family val="3"/>
        <charset val="134"/>
        <scheme val="minor"/>
      </rPr>
      <t>β</t>
    </r>
    <phoneticPr fontId="4" type="noConversion"/>
  </si>
  <si>
    <t>Z2=Z1*u</t>
    <phoneticPr fontId="4" type="noConversion"/>
  </si>
  <si>
    <t>Z2=Z1*u</t>
    <phoneticPr fontId="4" type="noConversion"/>
  </si>
  <si>
    <t>蜗轮蜗杆强度计算与校核</t>
    <phoneticPr fontId="4" type="noConversion"/>
  </si>
  <si>
    <r>
      <t>载荷分布系数
K=K</t>
    </r>
    <r>
      <rPr>
        <vertAlign val="subscript"/>
        <sz val="14"/>
        <color theme="1"/>
        <rFont val="宋体"/>
        <family val="3"/>
        <charset val="134"/>
        <scheme val="minor"/>
      </rPr>
      <t>A</t>
    </r>
    <r>
      <rPr>
        <sz val="11"/>
        <color theme="1"/>
        <rFont val="宋体"/>
        <family val="3"/>
        <charset val="134"/>
        <scheme val="minor"/>
      </rPr>
      <t>*K</t>
    </r>
    <r>
      <rPr>
        <vertAlign val="subscript"/>
        <sz val="14"/>
        <color theme="1"/>
        <rFont val="宋体"/>
        <family val="3"/>
        <charset val="134"/>
        <scheme val="minor"/>
      </rPr>
      <t>V</t>
    </r>
    <r>
      <rPr>
        <sz val="11"/>
        <color theme="1"/>
        <rFont val="宋体"/>
        <family val="3"/>
        <charset val="134"/>
        <scheme val="minor"/>
      </rPr>
      <t>*K</t>
    </r>
    <r>
      <rPr>
        <vertAlign val="subscript"/>
        <sz val="14"/>
        <color theme="1"/>
        <rFont val="宋体"/>
        <family val="3"/>
        <charset val="134"/>
        <scheme val="minor"/>
      </rPr>
      <t>β</t>
    </r>
    <r>
      <rPr>
        <sz val="11"/>
        <color theme="1"/>
        <rFont val="宋体"/>
        <family val="3"/>
        <charset val="134"/>
        <scheme val="minor"/>
      </rPr>
      <t>=</t>
    </r>
    <phoneticPr fontId="4" type="noConversion"/>
  </si>
  <si>
    <t>工作类型</t>
    <phoneticPr fontId="4" type="noConversion"/>
  </si>
  <si>
    <t>载荷性质</t>
    <phoneticPr fontId="4" type="noConversion"/>
  </si>
  <si>
    <t>I</t>
    <phoneticPr fontId="4" type="noConversion"/>
  </si>
  <si>
    <t>II</t>
    <phoneticPr fontId="4" type="noConversion"/>
  </si>
  <si>
    <t>III</t>
    <phoneticPr fontId="4" type="noConversion"/>
  </si>
  <si>
    <t>每小时启动次数</t>
    <phoneticPr fontId="4" type="noConversion"/>
  </si>
  <si>
    <t>启动载荷</t>
    <phoneticPr fontId="4" type="noConversion"/>
  </si>
  <si>
    <r>
      <t>K</t>
    </r>
    <r>
      <rPr>
        <vertAlign val="subscript"/>
        <sz val="14"/>
        <color theme="1"/>
        <rFont val="宋体"/>
        <family val="3"/>
        <charset val="134"/>
        <scheme val="minor"/>
      </rPr>
      <t>A</t>
    </r>
    <phoneticPr fontId="4" type="noConversion"/>
  </si>
  <si>
    <t>均匀无冲击</t>
    <phoneticPr fontId="4" type="noConversion"/>
  </si>
  <si>
    <t>不均匀小冲击</t>
    <phoneticPr fontId="4" type="noConversion"/>
  </si>
  <si>
    <t>不均匀大冲击</t>
    <phoneticPr fontId="4" type="noConversion"/>
  </si>
  <si>
    <t>＜25</t>
    <phoneticPr fontId="4" type="noConversion"/>
  </si>
  <si>
    <t>25~50</t>
    <phoneticPr fontId="4" type="noConversion"/>
  </si>
  <si>
    <t>＞50</t>
    <phoneticPr fontId="4" type="noConversion"/>
  </si>
  <si>
    <t>小</t>
    <phoneticPr fontId="4" type="noConversion"/>
  </si>
  <si>
    <t>较大</t>
    <phoneticPr fontId="4" type="noConversion"/>
  </si>
  <si>
    <t>大</t>
    <phoneticPr fontId="4" type="noConversion"/>
  </si>
  <si>
    <t xml:space="preserve">表2 动载系数Kv   </t>
    <phoneticPr fontId="4" type="noConversion"/>
  </si>
  <si>
    <t>平稳载荷</t>
    <phoneticPr fontId="4" type="noConversion"/>
  </si>
  <si>
    <t>Kv</t>
    <phoneticPr fontId="4" type="noConversion"/>
  </si>
  <si>
    <t>表2</t>
    <phoneticPr fontId="4" type="noConversion"/>
  </si>
  <si>
    <t>1.3~1.6</t>
    <phoneticPr fontId="4" type="noConversion"/>
  </si>
  <si>
    <t>载荷变化较大,或有冲击 振动时</t>
    <phoneticPr fontId="4" type="noConversion"/>
  </si>
  <si>
    <r>
      <t>表3 齿向载荷分布K</t>
    </r>
    <r>
      <rPr>
        <vertAlign val="subscript"/>
        <sz val="14"/>
        <color theme="1"/>
        <rFont val="宋体"/>
        <family val="3"/>
        <charset val="134"/>
        <scheme val="minor"/>
      </rPr>
      <t>β</t>
    </r>
    <phoneticPr fontId="4" type="noConversion"/>
  </si>
  <si>
    <r>
      <t>K</t>
    </r>
    <r>
      <rPr>
        <vertAlign val="subscript"/>
        <sz val="14"/>
        <color theme="1"/>
        <rFont val="宋体"/>
        <family val="3"/>
        <charset val="134"/>
        <scheme val="minor"/>
      </rPr>
      <t>β</t>
    </r>
    <phoneticPr fontId="4" type="noConversion"/>
  </si>
  <si>
    <t>速度</t>
    <phoneticPr fontId="4" type="noConversion"/>
  </si>
  <si>
    <t>1.1~1.2</t>
    <phoneticPr fontId="4" type="noConversion"/>
  </si>
  <si>
    <r>
      <t>v</t>
    </r>
    <r>
      <rPr>
        <vertAlign val="subscript"/>
        <sz val="14"/>
        <color theme="1"/>
        <rFont val="宋体"/>
        <family val="3"/>
        <charset val="134"/>
        <scheme val="minor"/>
      </rPr>
      <t>2</t>
    </r>
    <r>
      <rPr>
        <sz val="11"/>
        <color theme="1"/>
        <rFont val="宋体"/>
        <family val="3"/>
        <charset val="134"/>
        <scheme val="minor"/>
      </rPr>
      <t>＞3m/S</t>
    </r>
    <phoneticPr fontId="4" type="noConversion"/>
  </si>
  <si>
    <r>
      <t>螺旋角影响系数Y</t>
    </r>
    <r>
      <rPr>
        <vertAlign val="subscript"/>
        <sz val="14"/>
        <color theme="1"/>
        <rFont val="宋体"/>
        <family val="3"/>
        <charset val="134"/>
        <scheme val="minor"/>
      </rPr>
      <t>β</t>
    </r>
    <phoneticPr fontId="4" type="noConversion"/>
  </si>
  <si>
    <r>
      <t>Y</t>
    </r>
    <r>
      <rPr>
        <vertAlign val="subscript"/>
        <sz val="14"/>
        <color theme="1"/>
        <rFont val="宋体"/>
        <family val="3"/>
        <charset val="134"/>
        <scheme val="minor"/>
      </rPr>
      <t>β</t>
    </r>
    <r>
      <rPr>
        <sz val="11"/>
        <color theme="1"/>
        <rFont val="宋体"/>
        <family val="3"/>
        <charset val="134"/>
        <scheme val="minor"/>
      </rPr>
      <t>=1-γ/140°</t>
    </r>
    <phoneticPr fontId="4" type="noConversion"/>
  </si>
  <si>
    <r>
      <t>Z</t>
    </r>
    <r>
      <rPr>
        <vertAlign val="subscript"/>
        <sz val="14"/>
        <color theme="1"/>
        <rFont val="宋体"/>
        <family val="3"/>
        <charset val="134"/>
        <scheme val="minor"/>
      </rPr>
      <t>v2</t>
    </r>
    <r>
      <rPr>
        <sz val="10"/>
        <color theme="1"/>
        <rFont val="宋体"/>
        <family val="3"/>
        <charset val="134"/>
        <scheme val="minor"/>
      </rPr>
      <t>=Z</t>
    </r>
    <r>
      <rPr>
        <vertAlign val="subscript"/>
        <sz val="14"/>
        <color theme="1"/>
        <rFont val="宋体"/>
        <family val="3"/>
        <charset val="134"/>
        <scheme val="minor"/>
      </rPr>
      <t>2</t>
    </r>
    <r>
      <rPr>
        <sz val="10"/>
        <color theme="1"/>
        <rFont val="宋体"/>
        <family val="3"/>
        <charset val="134"/>
        <scheme val="minor"/>
      </rPr>
      <t>/cos</t>
    </r>
    <r>
      <rPr>
        <vertAlign val="superscript"/>
        <sz val="12"/>
        <color theme="1"/>
        <rFont val="宋体"/>
        <family val="3"/>
        <charset val="134"/>
        <scheme val="minor"/>
      </rPr>
      <t>3</t>
    </r>
    <r>
      <rPr>
        <sz val="10"/>
        <color theme="1"/>
        <rFont val="宋体"/>
        <family val="3"/>
        <charset val="134"/>
        <scheme val="minor"/>
      </rPr>
      <t>γ</t>
    </r>
    <phoneticPr fontId="4" type="noConversion"/>
  </si>
  <si>
    <r>
      <t>蜗轮齿数Z</t>
    </r>
    <r>
      <rPr>
        <vertAlign val="subscript"/>
        <sz val="14"/>
        <color theme="1"/>
        <rFont val="宋体"/>
        <family val="3"/>
        <charset val="134"/>
        <scheme val="minor"/>
      </rPr>
      <t>2</t>
    </r>
    <phoneticPr fontId="4" type="noConversion"/>
  </si>
  <si>
    <r>
      <t>齿形系数Y</t>
    </r>
    <r>
      <rPr>
        <vertAlign val="subscript"/>
        <sz val="14"/>
        <color theme="1"/>
        <rFont val="宋体"/>
        <family val="3"/>
        <charset val="134"/>
        <scheme val="minor"/>
      </rPr>
      <t>Fa2</t>
    </r>
    <phoneticPr fontId="4" type="noConversion"/>
  </si>
  <si>
    <t>N=60nL</t>
    <phoneticPr fontId="4" type="noConversion"/>
  </si>
  <si>
    <r>
      <t>（10</t>
    </r>
    <r>
      <rPr>
        <vertAlign val="superscript"/>
        <sz val="12"/>
        <color theme="1"/>
        <rFont val="宋体"/>
        <family val="3"/>
        <charset val="134"/>
        <scheme val="minor"/>
      </rPr>
      <t>6</t>
    </r>
    <r>
      <rPr>
        <sz val="11"/>
        <color theme="1"/>
        <rFont val="宋体"/>
        <family val="3"/>
        <charset val="134"/>
        <scheme val="minor"/>
      </rPr>
      <t>/N）</t>
    </r>
    <r>
      <rPr>
        <vertAlign val="superscript"/>
        <sz val="12"/>
        <color theme="1"/>
        <rFont val="宋体"/>
        <family val="3"/>
        <charset val="134"/>
        <scheme val="minor"/>
      </rPr>
      <t>1/9</t>
    </r>
    <phoneticPr fontId="4" type="noConversion"/>
  </si>
  <si>
    <r>
      <t>基本许用弯曲应力[σ</t>
    </r>
    <r>
      <rPr>
        <vertAlign val="subscript"/>
        <sz val="14"/>
        <color theme="1"/>
        <rFont val="宋体"/>
        <family val="3"/>
        <charset val="134"/>
        <scheme val="minor"/>
      </rPr>
      <t>F</t>
    </r>
    <r>
      <rPr>
        <sz val="11"/>
        <color theme="1"/>
        <rFont val="宋体"/>
        <family val="3"/>
        <charset val="134"/>
        <scheme val="minor"/>
      </rPr>
      <t>]'</t>
    </r>
    <phoneticPr fontId="4" type="noConversion"/>
  </si>
  <si>
    <t>蜗轮材料</t>
    <phoneticPr fontId="4" type="noConversion"/>
  </si>
  <si>
    <t>铸造方法</t>
    <phoneticPr fontId="4" type="noConversion"/>
  </si>
  <si>
    <t>单侧工作</t>
    <phoneticPr fontId="4" type="noConversion"/>
  </si>
  <si>
    <t>双侧工作</t>
    <phoneticPr fontId="4" type="noConversion"/>
  </si>
  <si>
    <t>铸锡青铜
ZCuSn10P1</t>
    <phoneticPr fontId="4" type="noConversion"/>
  </si>
  <si>
    <t>铸锡锌铅青铜
ZCuSnSPB5Zn5</t>
    <phoneticPr fontId="4" type="noConversion"/>
  </si>
  <si>
    <t>铸铝铁青铜
ZCuAl10Fe3</t>
    <phoneticPr fontId="4" type="noConversion"/>
  </si>
  <si>
    <t>砂型铸造</t>
    <phoneticPr fontId="4" type="noConversion"/>
  </si>
  <si>
    <t>金属模铸造</t>
    <phoneticPr fontId="4" type="noConversion"/>
  </si>
  <si>
    <t>HT150砂型铸造</t>
    <phoneticPr fontId="4" type="noConversion"/>
  </si>
  <si>
    <t>HT200砂型铸造</t>
    <phoneticPr fontId="4" type="noConversion"/>
  </si>
  <si>
    <t>蜗轮按齿面接触疲劳强度计算最小中心距</t>
    <phoneticPr fontId="4" type="noConversion"/>
  </si>
  <si>
    <r>
      <t>寿命系数K</t>
    </r>
    <r>
      <rPr>
        <vertAlign val="subscript"/>
        <sz val="14"/>
        <color theme="1"/>
        <rFont val="宋体"/>
        <family val="3"/>
        <charset val="134"/>
        <scheme val="minor"/>
      </rPr>
      <t>HN</t>
    </r>
    <phoneticPr fontId="4" type="noConversion"/>
  </si>
  <si>
    <r>
      <t>寿命系数K</t>
    </r>
    <r>
      <rPr>
        <vertAlign val="subscript"/>
        <sz val="14"/>
        <color theme="1"/>
        <rFont val="宋体"/>
        <family val="3"/>
        <charset val="134"/>
        <scheme val="minor"/>
      </rPr>
      <t>FN</t>
    </r>
    <phoneticPr fontId="4" type="noConversion"/>
  </si>
  <si>
    <r>
      <t>[σ</t>
    </r>
    <r>
      <rPr>
        <vertAlign val="subscript"/>
        <sz val="14"/>
        <color theme="1"/>
        <rFont val="宋体"/>
        <family val="3"/>
        <charset val="134"/>
        <scheme val="minor"/>
      </rPr>
      <t>F</t>
    </r>
    <r>
      <rPr>
        <sz val="11"/>
        <color theme="1"/>
        <rFont val="宋体"/>
        <family val="3"/>
        <charset val="134"/>
        <scheme val="minor"/>
      </rPr>
      <t>]=K</t>
    </r>
    <r>
      <rPr>
        <vertAlign val="subscript"/>
        <sz val="14"/>
        <color theme="1"/>
        <rFont val="宋体"/>
        <family val="3"/>
        <charset val="134"/>
        <scheme val="minor"/>
      </rPr>
      <t>HN</t>
    </r>
    <r>
      <rPr>
        <sz val="11"/>
        <color theme="1"/>
        <rFont val="宋体"/>
        <family val="3"/>
        <charset val="134"/>
        <scheme val="minor"/>
      </rPr>
      <t>*[σ</t>
    </r>
    <r>
      <rPr>
        <vertAlign val="subscript"/>
        <sz val="14"/>
        <color theme="1"/>
        <rFont val="宋体"/>
        <family val="3"/>
        <charset val="134"/>
        <scheme val="minor"/>
      </rPr>
      <t>F</t>
    </r>
    <r>
      <rPr>
        <sz val="11"/>
        <color theme="1"/>
        <rFont val="宋体"/>
        <family val="3"/>
        <charset val="134"/>
        <scheme val="minor"/>
      </rPr>
      <t>]'</t>
    </r>
    <phoneticPr fontId="4" type="noConversion"/>
  </si>
  <si>
    <r>
      <t>材料弹性影响系数Z</t>
    </r>
    <r>
      <rPr>
        <vertAlign val="subscript"/>
        <sz val="14"/>
        <color theme="1"/>
        <rFont val="宋体"/>
        <family val="3"/>
        <charset val="134"/>
        <scheme val="minor"/>
      </rPr>
      <t>E(MP</t>
    </r>
    <r>
      <rPr>
        <vertAlign val="superscript"/>
        <sz val="12"/>
        <color theme="1"/>
        <rFont val="宋体"/>
        <family val="3"/>
        <charset val="134"/>
        <scheme val="minor"/>
      </rPr>
      <t>1/2</t>
    </r>
    <r>
      <rPr>
        <vertAlign val="subscript"/>
        <sz val="14"/>
        <color theme="1"/>
        <rFont val="宋体"/>
        <family val="3"/>
        <charset val="134"/>
        <scheme val="minor"/>
      </rPr>
      <t>)</t>
    </r>
    <phoneticPr fontId="4" type="noConversion"/>
  </si>
  <si>
    <r>
      <t>接触系数Z</t>
    </r>
    <r>
      <rPr>
        <vertAlign val="subscript"/>
        <sz val="14"/>
        <color theme="1"/>
        <rFont val="宋体"/>
        <family val="3"/>
        <charset val="134"/>
        <scheme val="minor"/>
      </rPr>
      <t>ρ</t>
    </r>
    <phoneticPr fontId="4" type="noConversion"/>
  </si>
  <si>
    <t>d1/a值</t>
    <phoneticPr fontId="4" type="noConversion"/>
  </si>
  <si>
    <r>
      <t>即2q/（q+z</t>
    </r>
    <r>
      <rPr>
        <vertAlign val="subscript"/>
        <sz val="14"/>
        <color theme="1"/>
        <rFont val="宋体"/>
        <family val="3"/>
        <charset val="134"/>
        <scheme val="minor"/>
      </rPr>
      <t>2</t>
    </r>
    <r>
      <rPr>
        <sz val="11"/>
        <color theme="1"/>
        <rFont val="宋体"/>
        <family val="3"/>
        <charset val="134"/>
        <scheme val="minor"/>
      </rPr>
      <t>）</t>
    </r>
    <phoneticPr fontId="4" type="noConversion"/>
  </si>
  <si>
    <t>ZC圆弧螺杆</t>
    <phoneticPr fontId="4" type="noConversion"/>
  </si>
  <si>
    <t>ZI/ZA/ZN/ZK螺杆</t>
  </si>
  <si>
    <t>ZI/ZA/ZN/ZK螺杆</t>
    <phoneticPr fontId="4" type="noConversion"/>
  </si>
  <si>
    <t>左侧下拉菜单选择</t>
    <phoneticPr fontId="4" type="noConversion"/>
  </si>
  <si>
    <t>灰铸铁或铝铁青铜</t>
    <phoneticPr fontId="4" type="noConversion"/>
  </si>
  <si>
    <t>锡青铜</t>
  </si>
  <si>
    <t>锡青铜</t>
    <phoneticPr fontId="4" type="noConversion"/>
  </si>
  <si>
    <t>蜗杆</t>
    <phoneticPr fontId="4" type="noConversion"/>
  </si>
  <si>
    <r>
      <t>20/20Cr</t>
    </r>
    <r>
      <rPr>
        <sz val="11"/>
        <color theme="1"/>
        <rFont val="宋体"/>
        <family val="3"/>
        <charset val="134"/>
      </rPr>
      <t>渗碳</t>
    </r>
    <r>
      <rPr>
        <sz val="11"/>
        <color theme="1"/>
        <rFont val="Tahoma"/>
        <family val="2"/>
        <charset val="134"/>
      </rPr>
      <t>/</t>
    </r>
    <r>
      <rPr>
        <sz val="11"/>
        <color theme="1"/>
        <rFont val="宋体"/>
        <family val="3"/>
        <charset val="134"/>
      </rPr>
      <t xml:space="preserve">淬火
</t>
    </r>
    <r>
      <rPr>
        <sz val="11"/>
        <color theme="1"/>
        <rFont val="Tahoma"/>
        <family val="2"/>
        <charset val="134"/>
      </rPr>
      <t>45</t>
    </r>
    <r>
      <rPr>
        <sz val="11"/>
        <color theme="1"/>
        <rFont val="宋体"/>
        <family val="3"/>
        <charset val="134"/>
      </rPr>
      <t>钢淬火
表面硬度</t>
    </r>
    <r>
      <rPr>
        <sz val="11"/>
        <color theme="1"/>
        <rFont val="Tahoma"/>
        <family val="2"/>
        <charset val="134"/>
      </rPr>
      <t>&gt;45HRC</t>
    </r>
    <phoneticPr fontId="4" type="noConversion"/>
  </si>
  <si>
    <t>HT150</t>
    <phoneticPr fontId="4" type="noConversion"/>
  </si>
  <si>
    <t>HT200</t>
    <phoneticPr fontId="4" type="noConversion"/>
  </si>
  <si>
    <t>铸铝铁青铜</t>
    <phoneticPr fontId="4" type="noConversion"/>
  </si>
  <si>
    <r>
      <t>45</t>
    </r>
    <r>
      <rPr>
        <sz val="11"/>
        <color theme="1"/>
        <rFont val="宋体"/>
        <family val="3"/>
        <charset val="134"/>
      </rPr>
      <t>或</t>
    </r>
    <r>
      <rPr>
        <sz val="11"/>
        <color theme="1"/>
        <rFont val="Tahoma"/>
        <family val="2"/>
        <charset val="134"/>
      </rPr>
      <t>Q275</t>
    </r>
    <phoneticPr fontId="4" type="noConversion"/>
  </si>
  <si>
    <t>＜0.25</t>
    <phoneticPr fontId="4" type="noConversion"/>
  </si>
  <si>
    <t>—</t>
    <phoneticPr fontId="4" type="noConversion"/>
  </si>
  <si>
    <r>
      <t>滑动速度v</t>
    </r>
    <r>
      <rPr>
        <vertAlign val="subscript"/>
        <sz val="14"/>
        <color theme="1"/>
        <rFont val="宋体"/>
        <family val="3"/>
        <charset val="134"/>
        <scheme val="minor"/>
      </rPr>
      <t>s</t>
    </r>
    <r>
      <rPr>
        <sz val="11"/>
        <color theme="1"/>
        <rFont val="宋体"/>
        <family val="3"/>
        <charset val="134"/>
        <scheme val="minor"/>
      </rPr>
      <t>（m/s）</t>
    </r>
    <phoneticPr fontId="4" type="noConversion"/>
  </si>
  <si>
    <t>蜗轮σb≥300MPa</t>
    <phoneticPr fontId="4" type="noConversion"/>
  </si>
  <si>
    <t>材料</t>
    <phoneticPr fontId="4" type="noConversion"/>
  </si>
  <si>
    <t>蜗杆螺旋面硬度</t>
    <phoneticPr fontId="4" type="noConversion"/>
  </si>
  <si>
    <t>≤45HRC</t>
    <phoneticPr fontId="4" type="noConversion"/>
  </si>
  <si>
    <t>＞45HRC</t>
    <phoneticPr fontId="4" type="noConversion"/>
  </si>
  <si>
    <t>蜗轮材料
σb＜300MPa</t>
    <phoneticPr fontId="4" type="noConversion"/>
  </si>
  <si>
    <t>铸锡磷青铜
ZCuSn10P1</t>
    <phoneticPr fontId="4" type="noConversion"/>
  </si>
  <si>
    <t>铸锡锌铅青铜
ZCuSn5Pb5Zn5</t>
    <phoneticPr fontId="4" type="noConversion"/>
  </si>
  <si>
    <r>
      <t>基本许用应力[σ</t>
    </r>
    <r>
      <rPr>
        <vertAlign val="subscript"/>
        <sz val="14"/>
        <color theme="1"/>
        <rFont val="宋体"/>
        <family val="3"/>
        <charset val="134"/>
        <scheme val="minor"/>
      </rPr>
      <t>H</t>
    </r>
    <r>
      <rPr>
        <sz val="11"/>
        <color theme="1"/>
        <rFont val="宋体"/>
        <family val="3"/>
        <charset val="134"/>
        <scheme val="minor"/>
      </rPr>
      <t>]'</t>
    </r>
    <phoneticPr fontId="4" type="noConversion"/>
  </si>
  <si>
    <r>
      <t>[σ]=K</t>
    </r>
    <r>
      <rPr>
        <vertAlign val="subscript"/>
        <sz val="14"/>
        <color theme="1"/>
        <rFont val="宋体"/>
        <family val="3"/>
        <charset val="134"/>
        <scheme val="minor"/>
      </rPr>
      <t>N</t>
    </r>
    <r>
      <rPr>
        <sz val="10"/>
        <color theme="1"/>
        <rFont val="宋体"/>
        <family val="3"/>
        <charset val="134"/>
        <scheme val="minor"/>
      </rPr>
      <t>*[σ</t>
    </r>
    <r>
      <rPr>
        <vertAlign val="subscript"/>
        <sz val="14"/>
        <color theme="1"/>
        <rFont val="宋体"/>
        <family val="3"/>
        <charset val="134"/>
        <scheme val="minor"/>
      </rPr>
      <t>H</t>
    </r>
    <r>
      <rPr>
        <sz val="10"/>
        <color theme="1"/>
        <rFont val="宋体"/>
        <family val="3"/>
        <charset val="134"/>
        <scheme val="minor"/>
      </rPr>
      <t>]'</t>
    </r>
    <phoneticPr fontId="4" type="noConversion"/>
  </si>
  <si>
    <t>结论</t>
    <phoneticPr fontId="4" type="noConversion"/>
  </si>
  <si>
    <t>a≥</t>
    <phoneticPr fontId="4" type="noConversion"/>
  </si>
  <si>
    <t>蜗杆刚度校核</t>
    <phoneticPr fontId="4" type="noConversion"/>
  </si>
  <si>
    <t>2T1/d1</t>
    <phoneticPr fontId="4" type="noConversion"/>
  </si>
  <si>
    <t>2T2tanα/d2</t>
    <phoneticPr fontId="4" type="noConversion"/>
  </si>
  <si>
    <r>
      <t>若已知P</t>
    </r>
    <r>
      <rPr>
        <vertAlign val="subscript"/>
        <sz val="14"/>
        <color theme="1"/>
        <rFont val="宋体"/>
        <family val="3"/>
        <charset val="134"/>
        <scheme val="minor"/>
      </rPr>
      <t>1</t>
    </r>
    <r>
      <rPr>
        <sz val="11"/>
        <color theme="1"/>
        <rFont val="宋体"/>
        <family val="3"/>
        <charset val="134"/>
        <scheme val="minor"/>
      </rPr>
      <t>(kw)</t>
    </r>
    <phoneticPr fontId="4" type="noConversion"/>
  </si>
  <si>
    <r>
      <t>若已知T</t>
    </r>
    <r>
      <rPr>
        <vertAlign val="subscript"/>
        <sz val="14"/>
        <color theme="1"/>
        <rFont val="宋体"/>
        <family val="3"/>
        <charset val="134"/>
        <scheme val="minor"/>
      </rPr>
      <t>1</t>
    </r>
    <r>
      <rPr>
        <sz val="11"/>
        <color theme="1"/>
        <rFont val="宋体"/>
        <family val="3"/>
        <charset val="134"/>
        <scheme val="minor"/>
      </rPr>
      <t>(N.mm)</t>
    </r>
    <phoneticPr fontId="4" type="noConversion"/>
  </si>
  <si>
    <t>蜗轮转速n2（r/min）</t>
    <phoneticPr fontId="4" type="noConversion"/>
  </si>
  <si>
    <t>蜗杆所受圆周力Ft1(N.mm)</t>
    <phoneticPr fontId="4" type="noConversion"/>
  </si>
  <si>
    <t>蜗杆所受径向力Fr1=Fr2(N.mm)</t>
    <phoneticPr fontId="4" type="noConversion"/>
  </si>
  <si>
    <t>蜗杆支撑跨距L'（mm）</t>
    <phoneticPr fontId="4" type="noConversion"/>
  </si>
  <si>
    <t>弹性模量E（MPa）</t>
    <phoneticPr fontId="4" type="noConversion"/>
  </si>
  <si>
    <r>
      <t>最小截面惯性矩I(mm</t>
    </r>
    <r>
      <rPr>
        <vertAlign val="superscript"/>
        <sz val="12"/>
        <color theme="1"/>
        <rFont val="宋体"/>
        <family val="3"/>
        <charset val="134"/>
        <scheme val="minor"/>
      </rPr>
      <t>4</t>
    </r>
    <r>
      <rPr>
        <sz val="11"/>
        <color theme="1"/>
        <rFont val="宋体"/>
        <family val="3"/>
        <charset val="134"/>
        <scheme val="minor"/>
      </rPr>
      <t>)</t>
    </r>
    <phoneticPr fontId="4" type="noConversion"/>
  </si>
  <si>
    <t>最大许用挠度[y](mm)</t>
    <phoneticPr fontId="4" type="noConversion"/>
  </si>
  <si>
    <t>[y]=d1/1000</t>
    <phoneticPr fontId="4" type="noConversion"/>
  </si>
  <si>
    <r>
      <t>蜗杆齿根圆直径d</t>
    </r>
    <r>
      <rPr>
        <vertAlign val="subscript"/>
        <sz val="14"/>
        <color theme="1"/>
        <rFont val="宋体"/>
        <family val="3"/>
        <charset val="134"/>
        <scheme val="minor"/>
      </rPr>
      <t>f1</t>
    </r>
    <r>
      <rPr>
        <sz val="11"/>
        <color theme="1"/>
        <rFont val="宋体"/>
        <family val="3"/>
        <charset val="134"/>
        <scheme val="minor"/>
      </rPr>
      <t>（mm）</t>
    </r>
    <phoneticPr fontId="4" type="noConversion"/>
  </si>
  <si>
    <r>
      <t>I=πd</t>
    </r>
    <r>
      <rPr>
        <vertAlign val="subscript"/>
        <sz val="12"/>
        <color theme="1"/>
        <rFont val="宋体"/>
        <family val="3"/>
        <charset val="134"/>
        <scheme val="minor"/>
      </rPr>
      <t>f1</t>
    </r>
    <r>
      <rPr>
        <vertAlign val="superscript"/>
        <sz val="12"/>
        <color theme="1"/>
        <rFont val="宋体"/>
        <family val="3"/>
        <charset val="134"/>
        <scheme val="minor"/>
      </rPr>
      <t>4</t>
    </r>
    <r>
      <rPr>
        <sz val="11"/>
        <color theme="1"/>
        <rFont val="宋体"/>
        <family val="3"/>
        <charset val="134"/>
        <scheme val="minor"/>
      </rPr>
      <t>/64</t>
    </r>
    <phoneticPr fontId="4" type="noConversion"/>
  </si>
  <si>
    <t>注：小值用于每日偶尔工作，大值用于长期连续工作</t>
    <phoneticPr fontId="4" type="noConversion"/>
  </si>
  <si>
    <t>应用</t>
    <phoneticPr fontId="4" type="noConversion"/>
  </si>
  <si>
    <t xml:space="preserve">齿轮机床分度副读数装置的精密传动，
电动调速传动
</t>
    <phoneticPr fontId="4" type="noConversion"/>
  </si>
  <si>
    <t>≥7.5</t>
    <phoneticPr fontId="4" type="noConversion"/>
  </si>
  <si>
    <t>蜗轮V2（m/s）</t>
    <phoneticPr fontId="4" type="noConversion"/>
  </si>
  <si>
    <t>齿轮机床或高精机床的进给系统，工业用高速或重载调速器，一般读数装置</t>
    <phoneticPr fontId="4" type="noConversion"/>
  </si>
  <si>
    <t>一般机床的进给调速系统，工业用一般调速及动力传动装置</t>
    <phoneticPr fontId="4" type="noConversion"/>
  </si>
  <si>
    <t>圆周速度较小，每天工作时间较短的传动</t>
    <phoneticPr fontId="4" type="noConversion"/>
  </si>
  <si>
    <t>低速、不重要的传动或手动机构</t>
    <phoneticPr fontId="4" type="noConversion"/>
  </si>
  <si>
    <t>≥5</t>
    <phoneticPr fontId="4" type="noConversion"/>
  </si>
  <si>
    <r>
      <t>精确制造且v</t>
    </r>
    <r>
      <rPr>
        <vertAlign val="subscript"/>
        <sz val="14"/>
        <color theme="1"/>
        <rFont val="宋体"/>
        <family val="3"/>
        <charset val="134"/>
        <scheme val="minor"/>
      </rPr>
      <t>2</t>
    </r>
    <r>
      <rPr>
        <sz val="11"/>
        <color theme="1"/>
        <rFont val="宋体"/>
        <family val="3"/>
        <charset val="134"/>
        <scheme val="minor"/>
      </rPr>
      <t>≤3m/S</t>
    </r>
    <phoneticPr fontId="4" type="noConversion"/>
  </si>
  <si>
    <t>≤7.5</t>
    <phoneticPr fontId="4" type="noConversion"/>
  </si>
  <si>
    <t>≤3</t>
    <phoneticPr fontId="4" type="noConversion"/>
  </si>
  <si>
    <t>≤1.5</t>
    <phoneticPr fontId="4" type="noConversion"/>
  </si>
  <si>
    <t>均取206GPa</t>
    <phoneticPr fontId="4" type="noConversion"/>
  </si>
  <si>
    <t>最大挠度y(mm)</t>
    <phoneticPr fontId="4" type="noConversion"/>
  </si>
  <si>
    <r>
      <t>铸铁/青铜蜗轮+钢蜗杆160MP</t>
    </r>
    <r>
      <rPr>
        <vertAlign val="superscript"/>
        <sz val="10"/>
        <color theme="1"/>
        <rFont val="宋体"/>
        <family val="3"/>
        <charset val="134"/>
        <scheme val="minor"/>
      </rPr>
      <t>1/2</t>
    </r>
    <phoneticPr fontId="4" type="noConversion"/>
  </si>
  <si>
    <t>表4</t>
    <phoneticPr fontId="4" type="noConversion"/>
  </si>
  <si>
    <t>蜗杆蜗轮传动效率（估值）η</t>
    <phoneticPr fontId="4" type="noConversion"/>
  </si>
  <si>
    <t>蜗轮输入转矩T2(N.mm)</t>
    <phoneticPr fontId="4" type="noConversion"/>
  </si>
  <si>
    <t>蜗轮材料</t>
    <phoneticPr fontId="4" type="noConversion"/>
  </si>
  <si>
    <t>i=Z2/Z1</t>
    <phoneticPr fontId="4" type="noConversion"/>
  </si>
  <si>
    <t>Z1</t>
    <phoneticPr fontId="4" type="noConversion"/>
  </si>
  <si>
    <t>Z2</t>
    <phoneticPr fontId="4" type="noConversion"/>
  </si>
  <si>
    <t>5左右</t>
    <phoneticPr fontId="4" type="noConversion"/>
  </si>
  <si>
    <t>29~31</t>
    <phoneticPr fontId="4" type="noConversion"/>
  </si>
  <si>
    <t>7~15</t>
    <phoneticPr fontId="4" type="noConversion"/>
  </si>
  <si>
    <t>29~61</t>
    <phoneticPr fontId="4" type="noConversion"/>
  </si>
  <si>
    <t>14~30</t>
    <phoneticPr fontId="4" type="noConversion"/>
  </si>
  <si>
    <t>29~82</t>
    <phoneticPr fontId="4" type="noConversion"/>
  </si>
  <si>
    <t>表4 Z1与Z2推荐值、传动效率估值</t>
    <phoneticPr fontId="4" type="noConversion"/>
  </si>
  <si>
    <t>η（根据Z1估值）</t>
    <phoneticPr fontId="4" type="noConversion"/>
  </si>
  <si>
    <t>n1</t>
    <phoneticPr fontId="4" type="noConversion"/>
  </si>
  <si>
    <t>n2</t>
    <phoneticPr fontId="4" type="noConversion"/>
  </si>
  <si>
    <t>蜗轮当量齿数Zv2</t>
    <phoneticPr fontId="4" type="noConversion"/>
  </si>
  <si>
    <r>
      <rPr>
        <sz val="11"/>
        <color rgb="FFFF0000"/>
        <rFont val="宋体"/>
        <family val="3"/>
        <charset val="134"/>
        <scheme val="minor"/>
      </rPr>
      <t>蜗杆</t>
    </r>
    <r>
      <rPr>
        <sz val="11"/>
        <color theme="1"/>
        <rFont val="宋体"/>
        <family val="3"/>
        <charset val="134"/>
        <scheme val="minor"/>
      </rPr>
      <t>转速n1（r/min）</t>
    </r>
    <phoneticPr fontId="4" type="noConversion"/>
  </si>
  <si>
    <r>
      <rPr>
        <sz val="11"/>
        <color rgb="FFFF0000"/>
        <rFont val="宋体"/>
        <family val="3"/>
        <charset val="134"/>
        <scheme val="minor"/>
      </rPr>
      <t>蜗杆</t>
    </r>
    <r>
      <rPr>
        <sz val="11"/>
        <color theme="1"/>
        <rFont val="宋体"/>
        <family val="3"/>
        <charset val="134"/>
        <scheme val="minor"/>
      </rPr>
      <t>输入功率与转矩 2选1输入</t>
    </r>
    <phoneticPr fontId="4" type="noConversion"/>
  </si>
  <si>
    <r>
      <rPr>
        <sz val="11"/>
        <color rgb="FFFF0000"/>
        <rFont val="宋体"/>
        <family val="3"/>
        <charset val="134"/>
        <scheme val="minor"/>
      </rPr>
      <t>蜗杆</t>
    </r>
    <r>
      <rPr>
        <sz val="11"/>
        <color theme="1"/>
        <rFont val="宋体"/>
        <family val="3"/>
        <charset val="134"/>
        <scheme val="minor"/>
      </rPr>
      <t>头数Z</t>
    </r>
    <r>
      <rPr>
        <vertAlign val="subscript"/>
        <sz val="14"/>
        <color theme="1"/>
        <rFont val="宋体"/>
        <family val="3"/>
        <charset val="134"/>
        <scheme val="minor"/>
      </rPr>
      <t>1</t>
    </r>
    <r>
      <rPr>
        <sz val="11"/>
        <color theme="1"/>
        <rFont val="宋体"/>
        <family val="2"/>
        <charset val="134"/>
        <scheme val="minor"/>
      </rPr>
      <t/>
    </r>
    <phoneticPr fontId="4" type="noConversion"/>
  </si>
  <si>
    <r>
      <rPr>
        <sz val="11"/>
        <color rgb="FFFF0000"/>
        <rFont val="宋体"/>
        <family val="3"/>
        <charset val="134"/>
        <scheme val="minor"/>
      </rPr>
      <t>蜗杆</t>
    </r>
    <r>
      <rPr>
        <sz val="11"/>
        <color theme="1"/>
        <rFont val="宋体"/>
        <family val="3"/>
        <charset val="134"/>
        <scheme val="minor"/>
      </rPr>
      <t>类型</t>
    </r>
    <phoneticPr fontId="4" type="noConversion"/>
  </si>
  <si>
    <t>先预估后验证</t>
    <phoneticPr fontId="4" type="noConversion"/>
  </si>
  <si>
    <r>
      <t>(10</t>
    </r>
    <r>
      <rPr>
        <vertAlign val="superscript"/>
        <sz val="12"/>
        <color theme="1"/>
        <rFont val="宋体"/>
        <family val="3"/>
        <charset val="134"/>
        <scheme val="minor"/>
      </rPr>
      <t>7</t>
    </r>
    <r>
      <rPr>
        <sz val="11"/>
        <color theme="1"/>
        <rFont val="宋体"/>
        <family val="3"/>
        <charset val="134"/>
        <scheme val="minor"/>
      </rPr>
      <t>/N)</t>
    </r>
    <r>
      <rPr>
        <vertAlign val="superscript"/>
        <sz val="12"/>
        <color theme="1"/>
        <rFont val="宋体"/>
        <family val="3"/>
        <charset val="134"/>
        <scheme val="minor"/>
      </rPr>
      <t>1/8</t>
    </r>
    <phoneticPr fontId="4" type="noConversion"/>
  </si>
  <si>
    <t>中心距a（mm）</t>
    <phoneticPr fontId="4" type="noConversion"/>
  </si>
  <si>
    <t>模数m（mm）</t>
    <phoneticPr fontId="4" type="noConversion"/>
  </si>
  <si>
    <t>分度圆直径d1</t>
    <phoneticPr fontId="4" type="noConversion"/>
  </si>
  <si>
    <t>m2d1</t>
    <phoneticPr fontId="4" type="noConversion"/>
  </si>
  <si>
    <t>直径系数q</t>
    <phoneticPr fontId="4" type="noConversion"/>
  </si>
  <si>
    <t>蜗杆头数Z1</t>
    <phoneticPr fontId="4" type="noConversion"/>
  </si>
  <si>
    <t>导程角γ</t>
    <phoneticPr fontId="4" type="noConversion"/>
  </si>
  <si>
    <t>蜗轮齿数Z2</t>
    <phoneticPr fontId="4" type="noConversion"/>
  </si>
  <si>
    <t>蜗轮变位X2</t>
    <phoneticPr fontId="4" type="noConversion"/>
  </si>
  <si>
    <t>3°10′47″</t>
    <phoneticPr fontId="4" type="noConversion"/>
  </si>
  <si>
    <t>圆整后实际Z1</t>
    <phoneticPr fontId="4" type="noConversion"/>
  </si>
  <si>
    <t>圆整后实际Z2</t>
    <phoneticPr fontId="4" type="noConversion"/>
  </si>
  <si>
    <t>验算d1/a</t>
    <phoneticPr fontId="4" type="noConversion"/>
  </si>
  <si>
    <t>圆整后实际u</t>
    <phoneticPr fontId="4" type="noConversion"/>
  </si>
  <si>
    <t>开式传动Z1=1、2；η=0.6~0.7</t>
    <phoneticPr fontId="4" type="noConversion"/>
  </si>
  <si>
    <t>锰铅黄铜</t>
    <phoneticPr fontId="4" type="noConversion"/>
  </si>
  <si>
    <t>蜗杆未淬火时
[σH]需降低20</t>
    <phoneticPr fontId="4" type="noConversion"/>
  </si>
  <si>
    <r>
      <t>注：K</t>
    </r>
    <r>
      <rPr>
        <vertAlign val="subscript"/>
        <sz val="14"/>
        <color theme="1"/>
        <rFont val="宋体"/>
        <family val="3"/>
        <charset val="134"/>
        <scheme val="minor"/>
      </rPr>
      <t>HN</t>
    </r>
    <r>
      <rPr>
        <sz val="11"/>
        <color theme="1"/>
        <rFont val="宋体"/>
        <family val="3"/>
        <charset val="134"/>
        <scheme val="minor"/>
      </rPr>
      <t>=(10</t>
    </r>
    <r>
      <rPr>
        <vertAlign val="superscript"/>
        <sz val="12"/>
        <color theme="1"/>
        <rFont val="宋体"/>
        <family val="3"/>
        <charset val="134"/>
        <scheme val="minor"/>
      </rPr>
      <t>7</t>
    </r>
    <r>
      <rPr>
        <sz val="11"/>
        <color theme="1"/>
        <rFont val="宋体"/>
        <family val="3"/>
        <charset val="134"/>
        <scheme val="minor"/>
      </rPr>
      <t>/N)</t>
    </r>
    <r>
      <rPr>
        <vertAlign val="superscript"/>
        <sz val="12"/>
        <color theme="1"/>
        <rFont val="宋体"/>
        <family val="3"/>
        <charset val="134"/>
        <scheme val="minor"/>
      </rPr>
      <t>1/8</t>
    </r>
    <r>
      <rPr>
        <sz val="11"/>
        <color theme="1"/>
        <rFont val="宋体"/>
        <family val="3"/>
        <charset val="134"/>
        <scheme val="minor"/>
      </rPr>
      <t xml:space="preserve">
当N≠10</t>
    </r>
    <r>
      <rPr>
        <vertAlign val="superscript"/>
        <sz val="12"/>
        <color theme="1"/>
        <rFont val="宋体"/>
        <family val="3"/>
        <charset val="134"/>
        <scheme val="minor"/>
      </rPr>
      <t>7</t>
    </r>
    <r>
      <rPr>
        <sz val="11"/>
        <color theme="1"/>
        <rFont val="宋体"/>
        <family val="3"/>
        <charset val="134"/>
        <scheme val="minor"/>
      </rPr>
      <t xml:space="preserve"> 时，
当N＜2.6x10</t>
    </r>
    <r>
      <rPr>
        <vertAlign val="superscript"/>
        <sz val="12"/>
        <color theme="1"/>
        <rFont val="宋体"/>
        <family val="3"/>
        <charset val="134"/>
        <scheme val="minor"/>
      </rPr>
      <t>5</t>
    </r>
    <r>
      <rPr>
        <sz val="11"/>
        <color theme="1"/>
        <rFont val="宋体"/>
        <family val="3"/>
        <charset val="134"/>
        <scheme val="minor"/>
      </rPr>
      <t>时，取N=2.6x10</t>
    </r>
    <r>
      <rPr>
        <vertAlign val="superscript"/>
        <sz val="12"/>
        <color theme="1"/>
        <rFont val="宋体"/>
        <family val="3"/>
        <charset val="134"/>
        <scheme val="minor"/>
      </rPr>
      <t>5</t>
    </r>
    <r>
      <rPr>
        <sz val="11"/>
        <color theme="1"/>
        <rFont val="宋体"/>
        <family val="3"/>
        <charset val="134"/>
        <scheme val="minor"/>
      </rPr>
      <t>；
当N＞25x10</t>
    </r>
    <r>
      <rPr>
        <vertAlign val="superscript"/>
        <sz val="12"/>
        <color theme="1"/>
        <rFont val="宋体"/>
        <family val="3"/>
        <charset val="134"/>
        <scheme val="minor"/>
      </rPr>
      <t>7</t>
    </r>
    <r>
      <rPr>
        <sz val="11"/>
        <color theme="1"/>
        <rFont val="宋体"/>
        <family val="3"/>
        <charset val="134"/>
        <scheme val="minor"/>
      </rPr>
      <t>时，取N＝25x10</t>
    </r>
    <r>
      <rPr>
        <vertAlign val="superscript"/>
        <sz val="12"/>
        <color theme="1"/>
        <rFont val="宋体"/>
        <family val="3"/>
        <charset val="134"/>
        <scheme val="minor"/>
      </rPr>
      <t>7</t>
    </r>
    <phoneticPr fontId="4" type="noConversion"/>
  </si>
  <si>
    <t>参数选取</t>
    <phoneticPr fontId="4" type="noConversion"/>
  </si>
  <si>
    <t>直径系数q</t>
    <phoneticPr fontId="4" type="noConversion"/>
  </si>
  <si>
    <t>传动比误差Δu</t>
    <phoneticPr fontId="4" type="noConversion"/>
  </si>
  <si>
    <r>
      <t>变位系数X</t>
    </r>
    <r>
      <rPr>
        <vertAlign val="subscript"/>
        <sz val="14"/>
        <color theme="1"/>
        <rFont val="宋体"/>
        <family val="3"/>
        <charset val="134"/>
        <scheme val="minor"/>
      </rPr>
      <t>2</t>
    </r>
    <phoneticPr fontId="4" type="noConversion"/>
  </si>
  <si>
    <t>导程角γ(°)</t>
    <phoneticPr fontId="4" type="noConversion"/>
  </si>
  <si>
    <r>
      <t>m</t>
    </r>
    <r>
      <rPr>
        <vertAlign val="superscript"/>
        <sz val="12"/>
        <color theme="1"/>
        <rFont val="宋体"/>
        <family val="3"/>
        <charset val="134"/>
        <scheme val="minor"/>
      </rPr>
      <t>2</t>
    </r>
    <r>
      <rPr>
        <sz val="11"/>
        <color theme="1"/>
        <rFont val="宋体"/>
        <family val="3"/>
        <charset val="134"/>
        <scheme val="minor"/>
      </rPr>
      <t>d</t>
    </r>
    <r>
      <rPr>
        <vertAlign val="subscript"/>
        <sz val="14"/>
        <color theme="1"/>
        <rFont val="宋体"/>
        <family val="3"/>
        <charset val="134"/>
        <scheme val="minor"/>
      </rPr>
      <t>1</t>
    </r>
    <r>
      <rPr>
        <sz val="14"/>
        <color theme="1"/>
        <rFont val="宋体"/>
        <family val="3"/>
        <charset val="134"/>
        <scheme val="minor"/>
      </rPr>
      <t>(mm</t>
    </r>
    <r>
      <rPr>
        <vertAlign val="superscript"/>
        <sz val="12"/>
        <color theme="1"/>
        <rFont val="宋体"/>
        <family val="3"/>
        <charset val="134"/>
        <scheme val="minor"/>
      </rPr>
      <t>3</t>
    </r>
    <r>
      <rPr>
        <sz val="14"/>
        <color theme="1"/>
        <rFont val="宋体"/>
        <family val="3"/>
        <charset val="134"/>
        <scheme val="minor"/>
      </rPr>
      <t>)</t>
    </r>
    <phoneticPr fontId="4" type="noConversion"/>
  </si>
  <si>
    <t>模数m(mm)</t>
    <phoneticPr fontId="4" type="noConversion"/>
  </si>
  <si>
    <t>查询d1(mm)</t>
    <phoneticPr fontId="4" type="noConversion"/>
  </si>
  <si>
    <t>圆整中心距a(mm)</t>
    <phoneticPr fontId="4" type="noConversion"/>
  </si>
  <si>
    <r>
      <t>许用弯曲应力[σ</t>
    </r>
    <r>
      <rPr>
        <vertAlign val="subscript"/>
        <sz val="14"/>
        <color theme="1"/>
        <rFont val="宋体"/>
        <family val="3"/>
        <charset val="134"/>
        <scheme val="minor"/>
      </rPr>
      <t>F</t>
    </r>
    <r>
      <rPr>
        <sz val="11"/>
        <color theme="1"/>
        <rFont val="宋体"/>
        <family val="3"/>
        <charset val="134"/>
        <scheme val="minor"/>
      </rPr>
      <t>]</t>
    </r>
    <phoneticPr fontId="4" type="noConversion"/>
  </si>
  <si>
    <r>
      <t>蜗轮齿根弯曲应力σ</t>
    </r>
    <r>
      <rPr>
        <vertAlign val="subscript"/>
        <sz val="14"/>
        <color theme="1"/>
        <rFont val="宋体"/>
        <family val="3"/>
        <charset val="134"/>
        <scheme val="minor"/>
      </rPr>
      <t>F</t>
    </r>
    <phoneticPr fontId="4" type="noConversion"/>
  </si>
  <si>
    <t>蜗轮按齿根弯曲疲劳强度校核</t>
    <phoneticPr fontId="4" type="noConversion"/>
  </si>
  <si>
    <t>蜗轮转速n2（r/min）</t>
    <phoneticPr fontId="4" type="noConversion"/>
  </si>
  <si>
    <t>若误差＞0.05,则将u带回C10重算</t>
    <phoneticPr fontId="4" type="noConversion"/>
  </si>
  <si>
    <t>蜗杆分度圆d1(mm)</t>
    <phoneticPr fontId="4" type="noConversion"/>
  </si>
  <si>
    <t>蜗轮分度圆d2(mm)</t>
    <phoneticPr fontId="4" type="noConversion"/>
  </si>
  <si>
    <t>d1=mq</t>
    <phoneticPr fontId="4" type="noConversion"/>
  </si>
  <si>
    <t>d2=mZ2</t>
    <phoneticPr fontId="4" type="noConversion"/>
  </si>
  <si>
    <t>d1-2*m（ha+c）</t>
    <phoneticPr fontId="4" type="noConversion"/>
  </si>
  <si>
    <t>左侧值为0.9*d2</t>
    <phoneticPr fontId="4" type="noConversion"/>
  </si>
  <si>
    <t>滑动速度Vs(m/s)</t>
    <phoneticPr fontId="4" type="noConversion"/>
  </si>
  <si>
    <t>Vs=πd1n1/60000cosγ</t>
    <phoneticPr fontId="4" type="noConversion"/>
  </si>
  <si>
    <t>锡青铜</t>
    <phoneticPr fontId="4" type="noConversion"/>
  </si>
  <si>
    <t>≥45HRC</t>
    <phoneticPr fontId="4" type="noConversion"/>
  </si>
  <si>
    <t>其他</t>
    <phoneticPr fontId="4" type="noConversion"/>
  </si>
  <si>
    <t>无锡青铜</t>
    <phoneticPr fontId="4" type="noConversion"/>
  </si>
  <si>
    <t>灰铸铁</t>
    <phoneticPr fontId="4" type="noConversion"/>
  </si>
  <si>
    <t>蜗杆齿面硬度</t>
    <phoneticPr fontId="4" type="noConversion"/>
  </si>
  <si>
    <t>蜗轮材料</t>
    <phoneticPr fontId="4" type="noConversion"/>
  </si>
  <si>
    <t>fv</t>
    <phoneticPr fontId="4" type="noConversion"/>
  </si>
  <si>
    <t>φv</t>
    <phoneticPr fontId="4" type="noConversion"/>
  </si>
  <si>
    <t>当量摩擦角φv</t>
    <phoneticPr fontId="4" type="noConversion"/>
  </si>
  <si>
    <t>验算效率</t>
    <phoneticPr fontId="4" type="noConversion"/>
  </si>
  <si>
    <t>热平衡核算（闭式蜗轮蜗杆）</t>
    <phoneticPr fontId="4" type="noConversion"/>
  </si>
  <si>
    <t>常温为20°</t>
    <phoneticPr fontId="4" type="noConversion"/>
  </si>
  <si>
    <t>传动效率η</t>
    <phoneticPr fontId="4" type="noConversion"/>
  </si>
  <si>
    <t>0.95tanγ/tan(γ+φv)</t>
    <phoneticPr fontId="4" type="noConversion"/>
  </si>
  <si>
    <t>空气温度t1(°)</t>
    <phoneticPr fontId="4" type="noConversion"/>
  </si>
  <si>
    <r>
      <t>所需最小散热面积S(m</t>
    </r>
    <r>
      <rPr>
        <vertAlign val="superscript"/>
        <sz val="12"/>
        <color theme="1"/>
        <rFont val="宋体"/>
        <family val="3"/>
        <charset val="134"/>
        <scheme val="minor"/>
      </rPr>
      <t>2</t>
    </r>
    <r>
      <rPr>
        <sz val="11"/>
        <color theme="1"/>
        <rFont val="宋体"/>
        <family val="3"/>
        <charset val="134"/>
        <scheme val="minor"/>
      </rPr>
      <t>)</t>
    </r>
    <phoneticPr fontId="4" type="noConversion"/>
  </si>
  <si>
    <t>≤80(工作温度60~70)</t>
    <phoneticPr fontId="4" type="noConversion"/>
  </si>
  <si>
    <t>润滑油工作温度t0(°)</t>
    <phoneticPr fontId="4" type="noConversion"/>
  </si>
  <si>
    <t>所需最小散热面积S(m2)</t>
    <phoneticPr fontId="4" type="noConversion"/>
  </si>
  <si>
    <t>实际箱体扇热面积S0</t>
    <phoneticPr fontId="4" type="noConversion"/>
  </si>
  <si>
    <t>散热片按面积的0.5算</t>
    <phoneticPr fontId="4" type="noConversion"/>
  </si>
  <si>
    <t>若散热面积不足需采取以下措施</t>
    <phoneticPr fontId="4" type="noConversion"/>
  </si>
  <si>
    <t>箱体表面传热系数αd=8.15~17.45</t>
    <phoneticPr fontId="4" type="noConversion"/>
  </si>
  <si>
    <t>周围空气流通较好取大值</t>
    <phoneticPr fontId="4" type="noConversion"/>
  </si>
  <si>
    <t>d1/a</t>
    <phoneticPr fontId="4" type="noConversion"/>
  </si>
  <si>
    <t>如果超过温差允许值，可采用下述冷却措施：
⑴ 增加散热面积      合理设计箱体结构，铸出或焊上散热片。
⑵ 提高表面散热系数   在蜗杆轴上装置风扇或在箱体油池内装设蛇形冷却    水管或用循环油冷却。</t>
    <phoneticPr fontId="4" type="noConversion"/>
  </si>
  <si>
    <t>3°34′35″</t>
    <phoneticPr fontId="4" type="noConversion"/>
  </si>
  <si>
    <t>3°11′38″</t>
    <phoneticPr fontId="4" type="noConversion"/>
  </si>
  <si>
    <t>4°34′26″</t>
    <phoneticPr fontId="4" type="noConversion"/>
  </si>
  <si>
    <t>9°05′25″</t>
    <phoneticPr fontId="4" type="noConversion"/>
  </si>
  <si>
    <t>17°44′41″</t>
    <phoneticPr fontId="4" type="noConversion"/>
  </si>
  <si>
    <t>3°16′14″</t>
    <phoneticPr fontId="4" type="noConversion"/>
  </si>
  <si>
    <t>5°06′08″</t>
    <phoneticPr fontId="4" type="noConversion"/>
  </si>
  <si>
    <t>10°07′29″</t>
    <phoneticPr fontId="4" type="noConversion"/>
  </si>
  <si>
    <t>19°39′14″</t>
    <phoneticPr fontId="4" type="noConversion"/>
  </si>
  <si>
    <t>28°10′43″</t>
    <phoneticPr fontId="4" type="noConversion"/>
  </si>
  <si>
    <t>3°13′28″</t>
    <phoneticPr fontId="4" type="noConversion"/>
  </si>
  <si>
    <t>(39)</t>
    <phoneticPr fontId="4" type="noConversion"/>
  </si>
  <si>
    <t>(51)</t>
    <phoneticPr fontId="4" type="noConversion"/>
  </si>
  <si>
    <t>+0.125</t>
    <phoneticPr fontId="4" type="noConversion"/>
  </si>
  <si>
    <t>+0.250</t>
    <phoneticPr fontId="4" type="noConversion"/>
  </si>
  <si>
    <t>-0.500</t>
    <phoneticPr fontId="4" type="noConversion"/>
  </si>
  <si>
    <t>+0.440</t>
    <phoneticPr fontId="4" type="noConversion"/>
  </si>
  <si>
    <t>+0.040</t>
    <phoneticPr fontId="4" type="noConversion"/>
  </si>
  <si>
    <t>-0.100</t>
    <phoneticPr fontId="4" type="noConversion"/>
  </si>
  <si>
    <t>(+0.100)</t>
    <phoneticPr fontId="4" type="noConversion"/>
  </si>
  <si>
    <t>(+0.400)</t>
    <phoneticPr fontId="4" type="noConversion"/>
  </si>
  <si>
    <t>62</t>
    <phoneticPr fontId="4" type="noConversion"/>
  </si>
  <si>
    <t>82</t>
    <phoneticPr fontId="4" type="noConversion"/>
  </si>
  <si>
    <t>29</t>
    <phoneticPr fontId="4" type="noConversion"/>
  </si>
  <si>
    <t>(-0.100)</t>
    <phoneticPr fontId="4" type="noConversion"/>
  </si>
  <si>
    <t>(53)</t>
    <phoneticPr fontId="4" type="noConversion"/>
  </si>
  <si>
    <t>5°04′15″</t>
    <phoneticPr fontId="4" type="noConversion"/>
  </si>
  <si>
    <t>10°03′48″</t>
    <phoneticPr fontId="4" type="noConversion"/>
  </si>
  <si>
    <t>19°32′29″</t>
    <phoneticPr fontId="4" type="noConversion"/>
  </si>
  <si>
    <t>28°01′50″</t>
    <phoneticPr fontId="4" type="noConversion"/>
  </si>
  <si>
    <t>3°13′10″</t>
    <phoneticPr fontId="4" type="noConversion"/>
  </si>
  <si>
    <t>(39)</t>
    <phoneticPr fontId="4" type="noConversion"/>
  </si>
  <si>
    <t>-0.1349</t>
    <phoneticPr fontId="4" type="noConversion"/>
  </si>
  <si>
    <t>(+0.2619)</t>
    <phoneticPr fontId="4" type="noConversion"/>
  </si>
  <si>
    <t>62</t>
    <phoneticPr fontId="4" type="noConversion"/>
  </si>
  <si>
    <t>0</t>
    <phoneticPr fontId="4" type="noConversion"/>
  </si>
  <si>
    <t>(53)</t>
    <phoneticPr fontId="4" type="noConversion"/>
  </si>
  <si>
    <t>(-0.3889)</t>
    <phoneticPr fontId="4" type="noConversion"/>
  </si>
  <si>
    <t>-0.2063</t>
    <phoneticPr fontId="4" type="noConversion"/>
  </si>
  <si>
    <t>5°42′38″</t>
    <phoneticPr fontId="4" type="noConversion"/>
  </si>
  <si>
    <t>21°48′05″</t>
    <phoneticPr fontId="4" type="noConversion"/>
  </si>
  <si>
    <t>11°18′36″</t>
    <phoneticPr fontId="4" type="noConversion"/>
  </si>
  <si>
    <t>30°57′50″</t>
    <phoneticPr fontId="4" type="noConversion"/>
  </si>
  <si>
    <t>3°13′28″</t>
    <phoneticPr fontId="4" type="noConversion"/>
  </si>
  <si>
    <t>+0.125</t>
    <phoneticPr fontId="4" type="noConversion"/>
  </si>
  <si>
    <t>3°10′47″</t>
    <phoneticPr fontId="4" type="noConversion"/>
  </si>
  <si>
    <t>3°13′10″</t>
    <phoneticPr fontId="4" type="noConversion"/>
  </si>
  <si>
    <t>61</t>
    <phoneticPr fontId="4" type="noConversion"/>
  </si>
  <si>
    <t>+0.2937</t>
    <phoneticPr fontId="4" type="noConversion"/>
  </si>
  <si>
    <t>5°42′38″</t>
    <phoneticPr fontId="4" type="noConversion"/>
  </si>
  <si>
    <t>21°48′05″</t>
    <phoneticPr fontId="4" type="noConversion"/>
  </si>
  <si>
    <t>30°57′50″</t>
    <phoneticPr fontId="4" type="noConversion"/>
  </si>
  <si>
    <t>导程角换算°</t>
    <phoneticPr fontId="4" type="noConversion"/>
  </si>
  <si>
    <t>40
50</t>
    <phoneticPr fontId="4" type="noConversion"/>
  </si>
  <si>
    <t xml:space="preserve">
</t>
    <phoneticPr fontId="4" type="noConversion"/>
  </si>
  <si>
    <t>31</t>
    <phoneticPr fontId="4" type="noConversion"/>
  </si>
  <si>
    <t>(41)</t>
    <phoneticPr fontId="4" type="noConversion"/>
  </si>
  <si>
    <t>（-0.050）</t>
    <phoneticPr fontId="4" type="noConversion"/>
  </si>
  <si>
    <t>-0.050</t>
    <phoneticPr fontId="4" type="noConversion"/>
  </si>
  <si>
    <t>（+0.750）</t>
    <phoneticPr fontId="4" type="noConversion"/>
  </si>
  <si>
    <t>（51)</t>
    <phoneticPr fontId="4" type="noConversion"/>
  </si>
  <si>
    <t>(125)</t>
    <phoneticPr fontId="4" type="noConversion"/>
  </si>
  <si>
    <t>(160)</t>
    <phoneticPr fontId="4" type="noConversion"/>
  </si>
  <si>
    <t>(180)</t>
    <phoneticPr fontId="4" type="noConversion"/>
  </si>
  <si>
    <t>(61)</t>
    <phoneticPr fontId="4" type="noConversion"/>
  </si>
  <si>
    <t>-0.500</t>
    <phoneticPr fontId="4" type="noConversion"/>
  </si>
  <si>
    <t xml:space="preserve">
(-0.500)</t>
    <phoneticPr fontId="4" type="noConversion"/>
  </si>
  <si>
    <t>(-0.500)</t>
    <phoneticPr fontId="4" type="noConversion"/>
  </si>
  <si>
    <t>(+0.500)</t>
    <phoneticPr fontId="4" type="noConversion"/>
  </si>
  <si>
    <t>125</t>
    <phoneticPr fontId="4" type="noConversion"/>
  </si>
  <si>
    <t>(200)</t>
    <phoneticPr fontId="4" type="noConversion"/>
  </si>
  <si>
    <t>(48)</t>
    <phoneticPr fontId="4" type="noConversion"/>
  </si>
  <si>
    <t>-0.6587</t>
    <phoneticPr fontId="4" type="noConversion"/>
  </si>
  <si>
    <t>(-0.1032)</t>
    <phoneticPr fontId="4" type="noConversion"/>
  </si>
  <si>
    <t>(-0.4286)</t>
    <phoneticPr fontId="4" type="noConversion"/>
  </si>
  <si>
    <t>(+0.246)</t>
    <phoneticPr fontId="4" type="noConversion"/>
  </si>
  <si>
    <t>160</t>
    <phoneticPr fontId="4" type="noConversion"/>
  </si>
  <si>
    <t>(225)</t>
    <phoneticPr fontId="4" type="noConversion"/>
  </si>
  <si>
    <t>(250)</t>
    <phoneticPr fontId="4" type="noConversion"/>
  </si>
  <si>
    <t>(47)</t>
    <phoneticPr fontId="4" type="noConversion"/>
  </si>
  <si>
    <t>(52)</t>
    <phoneticPr fontId="4" type="noConversion"/>
  </si>
  <si>
    <t>(-0.375)</t>
    <phoneticPr fontId="4" type="noConversion"/>
  </si>
  <si>
    <t>(+0.250)</t>
    <phoneticPr fontId="4" type="noConversion"/>
  </si>
  <si>
    <t>3°10′47″</t>
    <phoneticPr fontId="4" type="noConversion"/>
  </si>
  <si>
    <t>注意：本表γ＜3.5°的蜗杆均为自锁蜗杆，括号内的参数不适用与Z1=6时。</t>
    <phoneticPr fontId="4" type="noConversion"/>
  </si>
  <si>
    <t xml:space="preserve">
    </t>
    <phoneticPr fontId="4" type="noConversion"/>
  </si>
  <si>
    <t xml:space="preserve">文档信息
编写：图惜
参考：《机械设计——第八版》——蒲良贵、纪名刚
      《机械设计手册——第五版第三卷》——成大先
                                           2018.7.30
</t>
    <phoneticPr fontId="4" type="noConversion"/>
  </si>
  <si>
    <t>15Cr/20Cr</t>
    <phoneticPr fontId="4" type="noConversion"/>
  </si>
  <si>
    <t>渗碳淬火</t>
    <phoneticPr fontId="4" type="noConversion"/>
  </si>
  <si>
    <t>材料</t>
    <phoneticPr fontId="4" type="noConversion"/>
  </si>
  <si>
    <t>热处理</t>
    <phoneticPr fontId="4" type="noConversion"/>
  </si>
  <si>
    <t>硬度</t>
    <phoneticPr fontId="4" type="noConversion"/>
  </si>
  <si>
    <t>≥45HRC</t>
    <phoneticPr fontId="4" type="noConversion"/>
  </si>
  <si>
    <t>≥45HRC</t>
    <phoneticPr fontId="4" type="noConversion"/>
  </si>
  <si>
    <t>40/45/40Cr</t>
    <phoneticPr fontId="4" type="noConversion"/>
  </si>
  <si>
    <t>淬火</t>
    <phoneticPr fontId="4" type="noConversion"/>
  </si>
  <si>
    <t>40/45</t>
    <phoneticPr fontId="4" type="noConversion"/>
  </si>
  <si>
    <t>调质</t>
    <phoneticPr fontId="4" type="noConversion"/>
  </si>
  <si>
    <t>200~300HBS</t>
    <phoneticPr fontId="4" type="noConversion"/>
  </si>
  <si>
    <t>用途</t>
    <phoneticPr fontId="4" type="noConversion"/>
  </si>
  <si>
    <t>备注</t>
    <phoneticPr fontId="4" type="noConversion"/>
  </si>
  <si>
    <t>不重要的低速中载</t>
    <phoneticPr fontId="4" type="noConversion"/>
  </si>
  <si>
    <t>高速或重载</t>
    <phoneticPr fontId="4" type="noConversion"/>
  </si>
  <si>
    <t>氮化处理后55~62HRC</t>
    <phoneticPr fontId="4" type="noConversion"/>
  </si>
  <si>
    <t>附录1 常用蜗杆材料</t>
    <phoneticPr fontId="4" type="noConversion"/>
  </si>
  <si>
    <t>附录1 常用蜗轮材料</t>
    <phoneticPr fontId="4" type="noConversion"/>
  </si>
  <si>
    <t>铸造锡青铜</t>
    <phoneticPr fontId="4" type="noConversion"/>
  </si>
  <si>
    <t>铸造铝青铜</t>
    <phoneticPr fontId="4" type="noConversion"/>
  </si>
  <si>
    <t>耐磨性</t>
    <phoneticPr fontId="4" type="noConversion"/>
  </si>
  <si>
    <t>好</t>
    <phoneticPr fontId="4" type="noConversion"/>
  </si>
  <si>
    <t>一般</t>
    <phoneticPr fontId="4" type="noConversion"/>
  </si>
  <si>
    <t>差</t>
    <phoneticPr fontId="4" type="noConversion"/>
  </si>
  <si>
    <t>价格</t>
    <phoneticPr fontId="4" type="noConversion"/>
  </si>
  <si>
    <t>高</t>
    <phoneticPr fontId="4" type="noConversion"/>
  </si>
  <si>
    <t>中</t>
    <phoneticPr fontId="4" type="noConversion"/>
  </si>
  <si>
    <t>低</t>
    <phoneticPr fontId="4" type="noConversion"/>
  </si>
  <si>
    <t>灰铸铁(HT150/200)</t>
    <phoneticPr fontId="4" type="noConversion"/>
  </si>
  <si>
    <t>实用滑动速度Vs</t>
    <phoneticPr fontId="4" type="noConversion"/>
  </si>
  <si>
    <t>≥3</t>
    <phoneticPr fontId="4" type="noConversion"/>
  </si>
  <si>
    <t>≤4</t>
    <phoneticPr fontId="4" type="noConversion"/>
  </si>
  <si>
    <t>重要传动</t>
    <phoneticPr fontId="4" type="noConversion"/>
  </si>
  <si>
    <t>一般传动</t>
    <phoneticPr fontId="4" type="noConversion"/>
  </si>
  <si>
    <t>抗胶合能力</t>
    <phoneticPr fontId="4" type="noConversion"/>
  </si>
  <si>
    <t>抗点蚀能力</t>
    <phoneticPr fontId="4" type="noConversion"/>
  </si>
  <si>
    <t>强</t>
    <phoneticPr fontId="4" type="noConversion"/>
  </si>
  <si>
    <t>≤2</t>
    <phoneticPr fontId="4" type="noConversion"/>
  </si>
  <si>
    <t>公式</t>
    <phoneticPr fontId="4" type="noConversion"/>
  </si>
  <si>
    <t>按齿根弯曲疲劳强度核算弯曲应力</t>
    <phoneticPr fontId="4" type="noConversion"/>
  </si>
  <si>
    <t>按齿面接触疲劳强度计算最小中心距</t>
    <phoneticPr fontId="4" type="noConversion"/>
  </si>
  <si>
    <t>蜗杆刚度校核</t>
    <phoneticPr fontId="4" type="noConversion"/>
  </si>
  <si>
    <t>效率计算</t>
    <phoneticPr fontId="4" type="noConversion"/>
  </si>
  <si>
    <t>散热面积计算</t>
    <phoneticPr fontId="4" type="noConversion"/>
  </si>
  <si>
    <t>附录3 所用公式</t>
    <phoneticPr fontId="4" type="noConversion"/>
  </si>
  <si>
    <t>表5或表6</t>
    <phoneticPr fontId="4" type="noConversion"/>
  </si>
  <si>
    <r>
      <t>表5 灰铸铁或铝铁青铜的许用接触应力[σ</t>
    </r>
    <r>
      <rPr>
        <vertAlign val="subscript"/>
        <sz val="14"/>
        <color theme="1"/>
        <rFont val="宋体"/>
        <family val="3"/>
        <charset val="134"/>
        <scheme val="minor"/>
      </rPr>
      <t>H</t>
    </r>
    <r>
      <rPr>
        <sz val="11"/>
        <color theme="1"/>
        <rFont val="宋体"/>
        <family val="3"/>
        <charset val="134"/>
        <scheme val="minor"/>
      </rPr>
      <t>]，与应力循环次数无关，相当于K</t>
    </r>
    <r>
      <rPr>
        <vertAlign val="subscript"/>
        <sz val="14"/>
        <color theme="1"/>
        <rFont val="宋体"/>
        <family val="3"/>
        <charset val="134"/>
        <scheme val="minor"/>
      </rPr>
      <t>HN</t>
    </r>
    <r>
      <rPr>
        <sz val="11"/>
        <color theme="1"/>
        <rFont val="宋体"/>
        <family val="3"/>
        <charset val="134"/>
        <scheme val="minor"/>
      </rPr>
      <t>=1</t>
    </r>
    <phoneticPr fontId="4" type="noConversion"/>
  </si>
  <si>
    <r>
      <rPr>
        <sz val="11"/>
        <color theme="1"/>
        <rFont val="宋体"/>
        <family val="3"/>
        <charset val="134"/>
      </rPr>
      <t>表</t>
    </r>
    <r>
      <rPr>
        <sz val="11"/>
        <color theme="1"/>
        <rFont val="Tahoma"/>
        <family val="2"/>
        <charset val="134"/>
      </rPr>
      <t xml:space="preserve">6 </t>
    </r>
    <r>
      <rPr>
        <sz val="11"/>
        <color theme="1"/>
        <rFont val="宋体"/>
        <family val="3"/>
        <charset val="134"/>
      </rPr>
      <t>锡青铜蜗轮的基本许用接触应力</t>
    </r>
    <r>
      <rPr>
        <sz val="11"/>
        <color theme="1"/>
        <rFont val="Tahoma"/>
        <family val="2"/>
        <charset val="134"/>
      </rPr>
      <t>[</t>
    </r>
    <r>
      <rPr>
        <sz val="11"/>
        <color theme="1"/>
        <rFont val="宋体"/>
        <family val="3"/>
        <charset val="134"/>
      </rPr>
      <t>σ</t>
    </r>
    <r>
      <rPr>
        <vertAlign val="subscript"/>
        <sz val="14"/>
        <color theme="1"/>
        <rFont val="Tahoma"/>
        <family val="2"/>
      </rPr>
      <t>H</t>
    </r>
    <r>
      <rPr>
        <sz val="11"/>
        <color theme="1"/>
        <rFont val="Tahoma"/>
        <family val="2"/>
        <charset val="134"/>
      </rPr>
      <t>]’ N=10</t>
    </r>
    <r>
      <rPr>
        <vertAlign val="superscript"/>
        <sz val="12"/>
        <color theme="1"/>
        <rFont val="Tahoma"/>
        <family val="2"/>
      </rPr>
      <t>7</t>
    </r>
    <r>
      <rPr>
        <sz val="11"/>
        <color theme="1"/>
        <rFont val="宋体"/>
        <family val="3"/>
        <charset val="134"/>
      </rPr>
      <t>时</t>
    </r>
    <phoneticPr fontId="4" type="noConversion"/>
  </si>
  <si>
    <t>根据a与Z1查表7</t>
    <phoneticPr fontId="4" type="noConversion"/>
  </si>
  <si>
    <t>atan(fv)表8</t>
    <phoneticPr fontId="4" type="noConversion"/>
  </si>
  <si>
    <t>表7 蜗杆蜗轮参数匹配</t>
    <phoneticPr fontId="4" type="noConversion"/>
  </si>
  <si>
    <t>表8 Vs、fv、φv值</t>
    <phoneticPr fontId="4" type="noConversion"/>
  </si>
  <si>
    <t>表9</t>
    <phoneticPr fontId="4" type="noConversion"/>
  </si>
  <si>
    <r>
      <t>表9 蜗轮齿形系数Y</t>
    </r>
    <r>
      <rPr>
        <vertAlign val="subscript"/>
        <sz val="14"/>
        <color theme="1"/>
        <rFont val="宋体"/>
        <family val="3"/>
        <charset val="134"/>
        <scheme val="minor"/>
      </rPr>
      <t>Fa2</t>
    </r>
    <phoneticPr fontId="4" type="noConversion"/>
  </si>
  <si>
    <r>
      <t>表10 蜗轮的基本许用弯曲应力[σ</t>
    </r>
    <r>
      <rPr>
        <vertAlign val="subscript"/>
        <sz val="14"/>
        <color theme="1"/>
        <rFont val="宋体"/>
        <family val="3"/>
        <charset val="134"/>
        <scheme val="minor"/>
      </rPr>
      <t>F</t>
    </r>
    <r>
      <rPr>
        <sz val="11"/>
        <color theme="1"/>
        <rFont val="宋体"/>
        <family val="3"/>
        <charset val="134"/>
        <scheme val="minor"/>
      </rPr>
      <t>]’ N=10</t>
    </r>
    <r>
      <rPr>
        <vertAlign val="superscript"/>
        <sz val="12"/>
        <color theme="1"/>
        <rFont val="宋体"/>
        <family val="3"/>
        <charset val="134"/>
        <scheme val="minor"/>
      </rPr>
      <t>6</t>
    </r>
    <r>
      <rPr>
        <sz val="11"/>
        <color theme="1"/>
        <rFont val="宋体"/>
        <family val="3"/>
        <charset val="134"/>
        <scheme val="minor"/>
      </rPr>
      <t>时</t>
    </r>
    <phoneticPr fontId="4" type="noConversion"/>
  </si>
  <si>
    <r>
      <rPr>
        <sz val="11"/>
        <color theme="1"/>
        <rFont val="宋体"/>
        <family val="3"/>
        <charset val="134"/>
      </rPr>
      <t>注：</t>
    </r>
    <r>
      <rPr>
        <sz val="11"/>
        <color theme="1"/>
        <rFont val="Tahoma"/>
        <family val="2"/>
        <charset val="134"/>
      </rPr>
      <t>FN=(106/N)1/9</t>
    </r>
    <r>
      <rPr>
        <sz val="11"/>
        <color theme="1"/>
        <rFont val="宋体"/>
        <family val="3"/>
        <charset val="134"/>
      </rPr>
      <t>，当</t>
    </r>
    <r>
      <rPr>
        <sz val="11"/>
        <color theme="1"/>
        <rFont val="Tahoma"/>
        <family val="2"/>
        <charset val="134"/>
      </rPr>
      <t>N</t>
    </r>
    <r>
      <rPr>
        <sz val="11"/>
        <color theme="1"/>
        <rFont val="宋体"/>
        <family val="3"/>
        <charset val="134"/>
      </rPr>
      <t>≠</t>
    </r>
    <r>
      <rPr>
        <sz val="11"/>
        <color theme="1"/>
        <rFont val="Tahoma"/>
        <family val="2"/>
        <charset val="134"/>
      </rPr>
      <t xml:space="preserve">106 </t>
    </r>
    <r>
      <rPr>
        <sz val="11"/>
        <color theme="1"/>
        <rFont val="宋体"/>
        <family val="3"/>
        <charset val="134"/>
      </rPr>
      <t xml:space="preserve">时，
</t>
    </r>
    <r>
      <rPr>
        <sz val="11"/>
        <color theme="1"/>
        <rFont val="Tahoma"/>
        <family val="2"/>
        <charset val="134"/>
      </rPr>
      <t xml:space="preserve">      </t>
    </r>
    <r>
      <rPr>
        <sz val="11"/>
        <color theme="1"/>
        <rFont val="宋体"/>
        <family val="3"/>
        <charset val="134"/>
      </rPr>
      <t>当</t>
    </r>
    <r>
      <rPr>
        <sz val="11"/>
        <color theme="1"/>
        <rFont val="Tahoma"/>
        <family val="2"/>
        <charset val="134"/>
      </rPr>
      <t>N</t>
    </r>
    <r>
      <rPr>
        <sz val="11"/>
        <color theme="1"/>
        <rFont val="宋体"/>
        <family val="3"/>
        <charset val="134"/>
      </rPr>
      <t>＜</t>
    </r>
    <r>
      <rPr>
        <sz val="11"/>
        <color theme="1"/>
        <rFont val="Tahoma"/>
        <family val="2"/>
        <charset val="134"/>
      </rPr>
      <t>105</t>
    </r>
    <r>
      <rPr>
        <sz val="11"/>
        <color theme="1"/>
        <rFont val="宋体"/>
        <family val="3"/>
        <charset val="134"/>
      </rPr>
      <t>时，取</t>
    </r>
    <r>
      <rPr>
        <sz val="11"/>
        <color theme="1"/>
        <rFont val="Tahoma"/>
        <family val="2"/>
        <charset val="134"/>
      </rPr>
      <t>N=105</t>
    </r>
    <r>
      <rPr>
        <sz val="11"/>
        <color theme="1"/>
        <rFont val="宋体"/>
        <family val="3"/>
        <charset val="134"/>
      </rPr>
      <t>；</t>
    </r>
    <r>
      <rPr>
        <sz val="11"/>
        <color theme="1"/>
        <rFont val="Tahoma"/>
        <family val="2"/>
        <charset val="134"/>
      </rPr>
      <t xml:space="preserve">         </t>
    </r>
    <r>
      <rPr>
        <sz val="11"/>
        <color theme="1"/>
        <rFont val="宋体"/>
        <family val="3"/>
        <charset val="134"/>
      </rPr>
      <t>当</t>
    </r>
    <r>
      <rPr>
        <sz val="11"/>
        <color theme="1"/>
        <rFont val="Tahoma"/>
        <family val="2"/>
        <charset val="134"/>
      </rPr>
      <t>N</t>
    </r>
    <r>
      <rPr>
        <sz val="11"/>
        <color theme="1"/>
        <rFont val="宋体"/>
        <family val="3"/>
        <charset val="134"/>
      </rPr>
      <t>＞</t>
    </r>
    <r>
      <rPr>
        <sz val="11"/>
        <color theme="1"/>
        <rFont val="Tahoma"/>
        <family val="2"/>
        <charset val="134"/>
      </rPr>
      <t>25x107</t>
    </r>
    <r>
      <rPr>
        <sz val="11"/>
        <color theme="1"/>
        <rFont val="宋体"/>
        <family val="3"/>
        <charset val="134"/>
      </rPr>
      <t>时</t>
    </r>
    <r>
      <rPr>
        <sz val="11"/>
        <color theme="1"/>
        <rFont val="Tahoma"/>
        <family val="2"/>
        <charset val="134"/>
      </rPr>
      <t>,</t>
    </r>
    <r>
      <rPr>
        <sz val="11"/>
        <color theme="1"/>
        <rFont val="宋体"/>
        <family val="3"/>
        <charset val="134"/>
      </rPr>
      <t>取</t>
    </r>
    <r>
      <rPr>
        <sz val="11"/>
        <color theme="1"/>
        <rFont val="Tahoma"/>
        <family val="2"/>
        <charset val="134"/>
      </rPr>
      <t>N</t>
    </r>
    <r>
      <rPr>
        <sz val="11"/>
        <color theme="1"/>
        <rFont val="宋体"/>
        <family val="3"/>
        <charset val="134"/>
      </rPr>
      <t>＝</t>
    </r>
    <r>
      <rPr>
        <sz val="11"/>
        <color theme="1"/>
        <rFont val="Tahoma"/>
        <family val="2"/>
        <charset val="134"/>
      </rPr>
      <t>25x107</t>
    </r>
    <phoneticPr fontId="4" type="noConversion"/>
  </si>
  <si>
    <r>
      <t>说明： 
    由于材料与结构原因，蜗杆螺旋齿部分强度总是高于蜗轮轮齿强度，所有失效经常发生在蜗轮上，</t>
    </r>
    <r>
      <rPr>
        <sz val="11"/>
        <color rgb="FFFF0000"/>
        <rFont val="宋体"/>
        <family val="3"/>
        <charset val="134"/>
        <scheme val="minor"/>
      </rPr>
      <t>一般只校核计算蜗轮</t>
    </r>
    <r>
      <rPr>
        <sz val="11"/>
        <color theme="1"/>
        <rFont val="宋体"/>
        <family val="3"/>
        <charset val="134"/>
        <scheme val="minor"/>
      </rPr>
      <t>。
    校核计算的一般顺序：按表</t>
    </r>
    <r>
      <rPr>
        <sz val="11"/>
        <color rgb="FFFF0000"/>
        <rFont val="宋体"/>
        <family val="3"/>
        <charset val="134"/>
        <scheme val="minor"/>
      </rPr>
      <t>预估传动效率η，预估d1/a</t>
    </r>
    <r>
      <rPr>
        <sz val="11"/>
        <color theme="1"/>
        <rFont val="宋体"/>
        <family val="3"/>
        <charset val="134"/>
        <scheme val="minor"/>
      </rPr>
      <t>，按齿面接触疲劳强度计算最小中心距——按参数匹配表选取参数——验证d1/a与η——若不合理则将计算值带回重算，直至d1/a与η验证合格——以齿根弯曲疲劳强度校核——校核蜗杆刚度——热平衡核算。
    1）开式蜗杆传动：失效多为齿面磨损和轮齿折断，以齿根弯曲疲劳强度作为主要设计基准。（实际也先按齿面接触疲劳强度计算——参数选取-——以齿根弯曲疲劳强度校核）
    2）闭式齿轮传动：失效多为齿面胶合或齿面点蚀，以齿面接触疲劳强度作为设计基准，按照齿根弯曲疲劳强度校核，还应做热平衡核算。
    此外，</t>
    </r>
    <r>
      <rPr>
        <sz val="11"/>
        <color rgb="FFFF0000"/>
        <rFont val="宋体"/>
        <family val="3"/>
        <charset val="134"/>
        <scheme val="minor"/>
      </rPr>
      <t>还应校核蜗杆刚度</t>
    </r>
    <r>
      <rPr>
        <sz val="11"/>
        <color theme="1"/>
        <rFont val="宋体"/>
        <family val="3"/>
        <charset val="134"/>
        <scheme val="minor"/>
      </rPr>
      <t>。</t>
    </r>
    <phoneticPr fontId="4" type="noConversion"/>
  </si>
  <si>
    <t>T2=ηuT1</t>
    <phoneticPr fontId="4" type="noConversion"/>
  </si>
  <si>
    <t>效率要求不高,特别是要求自锁时</t>
    <phoneticPr fontId="4" type="noConversion"/>
  </si>
  <si>
    <t>HRC</t>
    <phoneticPr fontId="4" type="noConversion"/>
  </si>
  <si>
    <t>HB</t>
    <phoneticPr fontId="4" type="noConversion"/>
  </si>
  <si>
    <t>HV</t>
    <phoneticPr fontId="4" type="noConversion"/>
  </si>
  <si>
    <t>自锁蜗杆</t>
    <phoneticPr fontId="4" type="noConversion"/>
  </si>
  <si>
    <t>碳钢σb</t>
    <phoneticPr fontId="4" type="noConversion"/>
  </si>
  <si>
    <t>不锈钢σb</t>
    <phoneticPr fontId="4" type="noConversion"/>
  </si>
  <si>
    <t>HRC</t>
    <phoneticPr fontId="4" type="noConversion"/>
  </si>
  <si>
    <t>HB</t>
    <phoneticPr fontId="4" type="noConversion"/>
  </si>
  <si>
    <t>HV</t>
    <phoneticPr fontId="4" type="noConversion"/>
  </si>
  <si>
    <r>
      <rPr>
        <sz val="11"/>
        <color theme="1"/>
        <rFont val="宋体"/>
        <family val="3"/>
        <charset val="134"/>
      </rPr>
      <t>碳钢</t>
    </r>
    <r>
      <rPr>
        <sz val="11"/>
        <color theme="1"/>
        <rFont val="Tahoma"/>
        <family val="2"/>
        <charset val="134"/>
      </rPr>
      <t>σb</t>
    </r>
    <phoneticPr fontId="4" type="noConversion"/>
  </si>
  <si>
    <t>换算参考表</t>
    <phoneticPr fontId="4" type="noConversion"/>
  </si>
  <si>
    <t>原动机与每天工作小时数</t>
    <phoneticPr fontId="4" type="noConversion"/>
  </si>
  <si>
    <t>&lt;10</t>
    <phoneticPr fontId="4" type="noConversion"/>
  </si>
  <si>
    <t>10~16</t>
    <phoneticPr fontId="4" type="noConversion"/>
  </si>
  <si>
    <t>&gt;16</t>
    <phoneticPr fontId="4" type="noConversion"/>
  </si>
  <si>
    <t>载荷变动很小</t>
    <phoneticPr fontId="4" type="noConversion"/>
  </si>
  <si>
    <t>载荷变动小</t>
    <phoneticPr fontId="4" type="noConversion"/>
  </si>
  <si>
    <t>载荷变动较大</t>
    <phoneticPr fontId="4" type="noConversion"/>
  </si>
  <si>
    <t>载荷变动很大</t>
    <phoneticPr fontId="4" type="noConversion"/>
  </si>
  <si>
    <r>
      <rPr>
        <sz val="11"/>
        <color theme="1"/>
        <rFont val="宋体"/>
        <family val="3"/>
        <charset val="134"/>
      </rPr>
      <t>表</t>
    </r>
    <r>
      <rPr>
        <sz val="11"/>
        <color theme="1"/>
        <rFont val="Tahoma"/>
        <family val="2"/>
        <charset val="134"/>
      </rPr>
      <t xml:space="preserve">1  </t>
    </r>
    <r>
      <rPr>
        <sz val="11"/>
        <color theme="1"/>
        <rFont val="宋体"/>
        <family val="3"/>
        <charset val="134"/>
      </rPr>
      <t>工作情况系数</t>
    </r>
    <r>
      <rPr>
        <sz val="11"/>
        <color theme="1"/>
        <rFont val="Tahoma"/>
        <family val="2"/>
        <charset val="134"/>
      </rPr>
      <t>KA</t>
    </r>
    <r>
      <rPr>
        <sz val="11"/>
        <color theme="1"/>
        <rFont val="宋体"/>
        <family val="3"/>
        <charset val="134"/>
      </rPr>
      <t xml:space="preserve">
</t>
    </r>
    <phoneticPr fontId="4" type="noConversion"/>
  </si>
  <si>
    <r>
      <rPr>
        <sz val="11"/>
        <color theme="1"/>
        <rFont val="宋体"/>
        <family val="3"/>
        <charset val="134"/>
      </rPr>
      <t>增速比</t>
    </r>
    <r>
      <rPr>
        <sz val="11"/>
        <color theme="1"/>
        <rFont val="Tahoma"/>
        <family val="2"/>
        <charset val="134"/>
      </rPr>
      <t>i</t>
    </r>
    <phoneticPr fontId="4" type="noConversion"/>
  </si>
  <si>
    <t>1.74~2.49</t>
    <phoneticPr fontId="4" type="noConversion"/>
  </si>
  <si>
    <t>2.50~3.49</t>
    <phoneticPr fontId="4" type="noConversion"/>
  </si>
  <si>
    <t>系数</t>
    <phoneticPr fontId="4" type="noConversion"/>
  </si>
  <si>
    <t>A</t>
    <phoneticPr fontId="4" type="noConversion"/>
  </si>
  <si>
    <t>B</t>
    <phoneticPr fontId="4" type="noConversion"/>
  </si>
  <si>
    <t>C</t>
    <phoneticPr fontId="4" type="noConversion"/>
  </si>
  <si>
    <t>D</t>
    <phoneticPr fontId="4" type="noConversion"/>
  </si>
  <si>
    <t>E</t>
    <phoneticPr fontId="4" type="noConversion"/>
  </si>
  <si>
    <t>SPZ</t>
    <phoneticPr fontId="4" type="noConversion"/>
  </si>
  <si>
    <t>SPA</t>
    <phoneticPr fontId="4" type="noConversion"/>
  </si>
  <si>
    <t>SPB</t>
    <phoneticPr fontId="4" type="noConversion"/>
  </si>
  <si>
    <t>SPC</t>
    <phoneticPr fontId="4" type="noConversion"/>
  </si>
  <si>
    <t>Z</t>
  </si>
  <si>
    <t>B</t>
  </si>
  <si>
    <r>
      <rPr>
        <sz val="11"/>
        <color theme="1"/>
        <rFont val="宋体"/>
        <family val="3"/>
        <charset val="134"/>
      </rPr>
      <t>表</t>
    </r>
    <r>
      <rPr>
        <sz val="11"/>
        <color theme="1"/>
        <rFont val="Tahoma"/>
        <family val="2"/>
        <charset val="134"/>
      </rPr>
      <t>2 V</t>
    </r>
    <r>
      <rPr>
        <sz val="11"/>
        <color theme="1"/>
        <rFont val="宋体"/>
        <family val="3"/>
        <charset val="134"/>
      </rPr>
      <t>带选型</t>
    </r>
    <phoneticPr fontId="4" type="noConversion"/>
  </si>
  <si>
    <r>
      <rPr>
        <sz val="11"/>
        <color theme="1"/>
        <rFont val="宋体"/>
        <family val="3"/>
        <charset val="134"/>
      </rPr>
      <t>表</t>
    </r>
    <r>
      <rPr>
        <sz val="11"/>
        <color theme="1"/>
        <rFont val="Tahoma"/>
        <family val="2"/>
        <charset val="134"/>
      </rPr>
      <t xml:space="preserve">3 </t>
    </r>
    <r>
      <rPr>
        <sz val="11"/>
        <color theme="1"/>
        <rFont val="宋体"/>
        <family val="3"/>
        <charset val="134"/>
      </rPr>
      <t>带轮直径选择</t>
    </r>
    <phoneticPr fontId="4" type="noConversion"/>
  </si>
  <si>
    <r>
      <rPr>
        <sz val="11"/>
        <color theme="1"/>
        <rFont val="宋体"/>
        <family val="3"/>
        <charset val="134"/>
      </rPr>
      <t>表</t>
    </r>
    <r>
      <rPr>
        <sz val="11"/>
        <color theme="1"/>
        <rFont val="Tahoma"/>
        <family val="2"/>
        <charset val="134"/>
      </rPr>
      <t>4 V</t>
    </r>
    <r>
      <rPr>
        <sz val="11"/>
        <color theme="1"/>
        <rFont val="宋体"/>
        <family val="3"/>
        <charset val="134"/>
      </rPr>
      <t>带的基准长度</t>
    </r>
    <r>
      <rPr>
        <sz val="11"/>
        <color theme="1"/>
        <rFont val="Tahoma"/>
        <family val="2"/>
        <charset val="134"/>
      </rPr>
      <t>Ld</t>
    </r>
    <r>
      <rPr>
        <sz val="11"/>
        <color theme="1"/>
        <rFont val="宋体"/>
        <family val="3"/>
        <charset val="134"/>
      </rPr>
      <t>及长度系数</t>
    </r>
    <r>
      <rPr>
        <sz val="11"/>
        <color theme="1"/>
        <rFont val="Tahoma"/>
        <family val="2"/>
        <charset val="134"/>
      </rPr>
      <t>KL</t>
    </r>
    <phoneticPr fontId="4" type="noConversion"/>
  </si>
  <si>
    <t>A</t>
  </si>
  <si>
    <r>
      <rPr>
        <sz val="11"/>
        <color theme="1"/>
        <rFont val="宋体"/>
        <family val="3"/>
        <charset val="134"/>
      </rPr>
      <t>表</t>
    </r>
    <r>
      <rPr>
        <sz val="11"/>
        <color theme="1"/>
        <rFont val="Tahoma"/>
        <family val="2"/>
        <charset val="134"/>
      </rPr>
      <t xml:space="preserve">5 </t>
    </r>
    <r>
      <rPr>
        <sz val="11"/>
        <color theme="1"/>
        <rFont val="宋体"/>
        <family val="3"/>
        <charset val="134"/>
      </rPr>
      <t>单根</t>
    </r>
    <r>
      <rPr>
        <sz val="11"/>
        <color theme="1"/>
        <rFont val="Tahoma"/>
        <family val="2"/>
        <charset val="134"/>
      </rPr>
      <t>V</t>
    </r>
    <r>
      <rPr>
        <sz val="11"/>
        <color theme="1"/>
        <rFont val="宋体"/>
        <family val="3"/>
        <charset val="134"/>
      </rPr>
      <t>带额定功率</t>
    </r>
    <r>
      <rPr>
        <sz val="11"/>
        <color theme="1"/>
        <rFont val="Tahoma"/>
        <family val="2"/>
        <charset val="134"/>
      </rPr>
      <t>P0</t>
    </r>
    <phoneticPr fontId="4" type="noConversion"/>
  </si>
  <si>
    <t>带型</t>
  </si>
  <si>
    <t>小带轮转速n1(r/min)</t>
  </si>
  <si>
    <t>Z型</t>
  </si>
  <si>
    <t>A型</t>
  </si>
  <si>
    <t>B型</t>
  </si>
  <si>
    <t>C型</t>
  </si>
  <si>
    <t xml:space="preserve">- </t>
  </si>
  <si>
    <t>SPZ型</t>
  </si>
  <si>
    <t>SPA型</t>
  </si>
  <si>
    <t>SPB型</t>
  </si>
  <si>
    <t>SPC型</t>
  </si>
  <si>
    <t>-</t>
  </si>
  <si>
    <t>C</t>
  </si>
  <si>
    <t>1.19~1.24</t>
    <phoneticPr fontId="4" type="noConversion"/>
  </si>
  <si>
    <r>
      <t>传</t>
    </r>
    <r>
      <rPr>
        <sz val="12"/>
        <color theme="1"/>
        <rFont val="Times New Roman"/>
        <family val="1"/>
      </rPr>
      <t xml:space="preserve">  </t>
    </r>
    <r>
      <rPr>
        <sz val="12"/>
        <color theme="1"/>
        <rFont val="宋体"/>
        <family val="3"/>
        <charset val="134"/>
      </rPr>
      <t>动</t>
    </r>
    <r>
      <rPr>
        <sz val="12"/>
        <color theme="1"/>
        <rFont val="Times New Roman"/>
        <family val="1"/>
      </rPr>
      <t xml:space="preserve">  </t>
    </r>
    <r>
      <rPr>
        <sz val="12"/>
        <color theme="1"/>
        <rFont val="宋体"/>
        <family val="3"/>
        <charset val="134"/>
      </rPr>
      <t>比</t>
    </r>
    <r>
      <rPr>
        <sz val="12"/>
        <color theme="1"/>
        <rFont val="Times New Roman"/>
        <family val="1"/>
      </rPr>
      <t xml:space="preserve">  </t>
    </r>
    <r>
      <rPr>
        <i/>
        <sz val="12"/>
        <color theme="1"/>
        <rFont val="Times New Roman"/>
        <family val="1"/>
      </rPr>
      <t>i</t>
    </r>
  </si>
  <si>
    <t>Kα</t>
    <phoneticPr fontId="4" type="noConversion"/>
  </si>
  <si>
    <r>
      <t>V</t>
    </r>
    <r>
      <rPr>
        <b/>
        <sz val="16"/>
        <color theme="1"/>
        <rFont val="宋体"/>
        <family val="3"/>
        <charset val="134"/>
      </rPr>
      <t>带选型向导</t>
    </r>
    <phoneticPr fontId="4" type="noConversion"/>
  </si>
  <si>
    <r>
      <rPr>
        <sz val="11"/>
        <color theme="1"/>
        <rFont val="宋体"/>
        <family val="3"/>
        <charset val="134"/>
      </rPr>
      <t>步骤</t>
    </r>
    <phoneticPr fontId="4" type="noConversion"/>
  </si>
  <si>
    <r>
      <rPr>
        <sz val="11"/>
        <color theme="1"/>
        <rFont val="宋体"/>
        <family val="3"/>
        <charset val="134"/>
      </rPr>
      <t>参数</t>
    </r>
    <phoneticPr fontId="4" type="noConversion"/>
  </si>
  <si>
    <r>
      <rPr>
        <sz val="11"/>
        <color theme="1"/>
        <rFont val="宋体"/>
        <family val="3"/>
        <charset val="134"/>
      </rPr>
      <t>取值</t>
    </r>
    <phoneticPr fontId="4" type="noConversion"/>
  </si>
  <si>
    <r>
      <rPr>
        <sz val="11"/>
        <color theme="1"/>
        <rFont val="宋体"/>
        <family val="3"/>
        <charset val="134"/>
      </rPr>
      <t>已知条件</t>
    </r>
    <phoneticPr fontId="4" type="noConversion"/>
  </si>
  <si>
    <r>
      <rPr>
        <sz val="11"/>
        <color theme="1"/>
        <rFont val="Tahoma"/>
        <family val="2"/>
        <charset val="134"/>
      </rPr>
      <t>带型选择</t>
    </r>
    <phoneticPr fontId="4" type="noConversion"/>
  </si>
  <si>
    <r>
      <rPr>
        <sz val="11"/>
        <color theme="1"/>
        <rFont val="宋体"/>
        <family val="3"/>
        <charset val="134"/>
      </rPr>
      <t>中心距变化范围</t>
    </r>
    <phoneticPr fontId="4" type="noConversion"/>
  </si>
  <si>
    <t>a-0.015Ld~a+0.3Ld</t>
    <phoneticPr fontId="4" type="noConversion"/>
  </si>
  <si>
    <t>180°-57.3°(d2-d1)/a</t>
    <phoneticPr fontId="4" type="noConversion"/>
  </si>
  <si>
    <r>
      <rPr>
        <sz val="11"/>
        <color theme="1"/>
        <rFont val="宋体"/>
        <family val="3"/>
        <charset val="134"/>
      </rPr>
      <t>已知条件：传递功率</t>
    </r>
    <r>
      <rPr>
        <sz val="11"/>
        <color theme="1"/>
        <rFont val="Tahoma"/>
        <family val="2"/>
      </rPr>
      <t>P</t>
    </r>
    <r>
      <rPr>
        <sz val="11"/>
        <color theme="1"/>
        <rFont val="宋体"/>
        <family val="3"/>
        <charset val="134"/>
      </rPr>
      <t>（</t>
    </r>
    <r>
      <rPr>
        <sz val="11"/>
        <color theme="1"/>
        <rFont val="Tahoma"/>
        <family val="2"/>
      </rPr>
      <t>kw</t>
    </r>
    <r>
      <rPr>
        <sz val="11"/>
        <color theme="1"/>
        <rFont val="宋体"/>
        <family val="3"/>
        <charset val="134"/>
      </rPr>
      <t>），主动轮转速</t>
    </r>
    <r>
      <rPr>
        <sz val="11"/>
        <color theme="1"/>
        <rFont val="Tahoma"/>
        <family val="2"/>
      </rPr>
      <t>n1</t>
    </r>
    <r>
      <rPr>
        <sz val="11"/>
        <color theme="1"/>
        <rFont val="宋体"/>
        <family val="3"/>
        <charset val="134"/>
      </rPr>
      <t>（</t>
    </r>
    <r>
      <rPr>
        <sz val="11"/>
        <color theme="1"/>
        <rFont val="Tahoma"/>
        <family val="2"/>
      </rPr>
      <t>r/min</t>
    </r>
    <r>
      <rPr>
        <sz val="11"/>
        <color theme="1"/>
        <rFont val="宋体"/>
        <family val="3"/>
        <charset val="134"/>
      </rPr>
      <t>）从动轮转速</t>
    </r>
    <r>
      <rPr>
        <sz val="11"/>
        <color theme="1"/>
        <rFont val="Tahoma"/>
        <family val="2"/>
      </rPr>
      <t>n2</t>
    </r>
    <r>
      <rPr>
        <sz val="11"/>
        <color theme="1"/>
        <rFont val="宋体"/>
        <family val="3"/>
        <charset val="134"/>
      </rPr>
      <t>或传动比</t>
    </r>
    <r>
      <rPr>
        <sz val="11"/>
        <color theme="1"/>
        <rFont val="Tahoma"/>
        <family val="2"/>
      </rPr>
      <t>i</t>
    </r>
    <phoneticPr fontId="4" type="noConversion"/>
  </si>
  <si>
    <r>
      <rPr>
        <sz val="11"/>
        <color theme="1"/>
        <rFont val="宋体"/>
        <family val="3"/>
        <charset val="134"/>
      </rPr>
      <t>备注</t>
    </r>
    <phoneticPr fontId="4" type="noConversion"/>
  </si>
  <si>
    <r>
      <rPr>
        <sz val="11"/>
        <color theme="1"/>
        <rFont val="Tahoma"/>
        <family val="2"/>
        <charset val="134"/>
      </rPr>
      <t>所需传递功率</t>
    </r>
    <r>
      <rPr>
        <sz val="11"/>
        <color theme="1"/>
        <rFont val="Tahoma"/>
        <family val="2"/>
      </rPr>
      <t>P(kw)</t>
    </r>
    <phoneticPr fontId="4" type="noConversion"/>
  </si>
  <si>
    <r>
      <rPr>
        <sz val="11"/>
        <color theme="1"/>
        <rFont val="Tahoma"/>
        <family val="2"/>
        <charset val="134"/>
      </rPr>
      <t>小轮转速</t>
    </r>
    <r>
      <rPr>
        <sz val="11"/>
        <color theme="1"/>
        <rFont val="Tahoma"/>
        <family val="2"/>
      </rPr>
      <t>n1(r/min)</t>
    </r>
    <phoneticPr fontId="4" type="noConversion"/>
  </si>
  <si>
    <r>
      <rPr>
        <sz val="11"/>
        <color theme="1"/>
        <rFont val="Tahoma"/>
        <family val="2"/>
        <charset val="134"/>
      </rPr>
      <t>传动比</t>
    </r>
    <r>
      <rPr>
        <sz val="11"/>
        <color theme="1"/>
        <rFont val="Tahoma"/>
        <family val="2"/>
      </rPr>
      <t>i</t>
    </r>
    <phoneticPr fontId="4" type="noConversion"/>
  </si>
  <si>
    <r>
      <t>1</t>
    </r>
    <r>
      <rPr>
        <sz val="11"/>
        <color theme="1"/>
        <rFont val="宋体"/>
        <family val="3"/>
        <charset val="134"/>
      </rPr>
      <t xml:space="preserve">，确定计算功率
</t>
    </r>
    <r>
      <rPr>
        <sz val="11"/>
        <color theme="1"/>
        <rFont val="Tahoma"/>
        <family val="2"/>
      </rPr>
      <t xml:space="preserve">     Pca=K</t>
    </r>
    <r>
      <rPr>
        <vertAlign val="subscript"/>
        <sz val="14"/>
        <color theme="1"/>
        <rFont val="Tahoma"/>
        <family val="2"/>
      </rPr>
      <t>A</t>
    </r>
    <r>
      <rPr>
        <sz val="11"/>
        <color theme="1"/>
        <rFont val="Tahoma"/>
        <family val="2"/>
      </rPr>
      <t>.P</t>
    </r>
    <phoneticPr fontId="4" type="noConversion"/>
  </si>
  <si>
    <r>
      <rPr>
        <sz val="11"/>
        <color theme="1"/>
        <rFont val="宋体"/>
        <family val="3"/>
        <charset val="134"/>
      </rPr>
      <t>工作情况系数</t>
    </r>
    <r>
      <rPr>
        <sz val="11"/>
        <color theme="1"/>
        <rFont val="Tahoma"/>
        <family val="2"/>
      </rPr>
      <t>KA</t>
    </r>
    <phoneticPr fontId="4" type="noConversion"/>
  </si>
  <si>
    <r>
      <rPr>
        <sz val="11"/>
        <color theme="1"/>
        <rFont val="宋体"/>
        <family val="3"/>
        <charset val="134"/>
      </rPr>
      <t>计算功率</t>
    </r>
    <r>
      <rPr>
        <sz val="11"/>
        <color theme="1"/>
        <rFont val="Tahoma"/>
        <family val="2"/>
      </rPr>
      <t>Pca(kw)</t>
    </r>
    <phoneticPr fontId="4" type="noConversion"/>
  </si>
  <si>
    <r>
      <t>2</t>
    </r>
    <r>
      <rPr>
        <sz val="11"/>
        <color theme="1"/>
        <rFont val="宋体"/>
        <family val="3"/>
        <charset val="134"/>
      </rPr>
      <t>，选择</t>
    </r>
    <r>
      <rPr>
        <sz val="11"/>
        <color theme="1"/>
        <rFont val="Tahoma"/>
        <family val="2"/>
      </rPr>
      <t>V</t>
    </r>
    <r>
      <rPr>
        <sz val="11"/>
        <color theme="1"/>
        <rFont val="宋体"/>
        <family val="3"/>
        <charset val="134"/>
      </rPr>
      <t>带带型</t>
    </r>
    <phoneticPr fontId="4" type="noConversion"/>
  </si>
  <si>
    <r>
      <t>3</t>
    </r>
    <r>
      <rPr>
        <sz val="11"/>
        <color theme="1"/>
        <rFont val="宋体"/>
        <family val="3"/>
        <charset val="134"/>
      </rPr>
      <t xml:space="preserve">，确定小轮基准
</t>
    </r>
    <r>
      <rPr>
        <sz val="11"/>
        <color theme="1"/>
        <rFont val="Tahoma"/>
        <family val="2"/>
      </rPr>
      <t xml:space="preserve">    </t>
    </r>
    <r>
      <rPr>
        <sz val="11"/>
        <color theme="1"/>
        <rFont val="宋体"/>
        <family val="3"/>
        <charset val="134"/>
      </rPr>
      <t>直径</t>
    </r>
    <r>
      <rPr>
        <sz val="11"/>
        <color theme="1"/>
        <rFont val="Tahoma"/>
        <family val="2"/>
      </rPr>
      <t>d1</t>
    </r>
    <r>
      <rPr>
        <sz val="11"/>
        <color theme="1"/>
        <rFont val="宋体"/>
        <family val="3"/>
        <charset val="134"/>
      </rPr>
      <t xml:space="preserve">并验算
</t>
    </r>
    <r>
      <rPr>
        <sz val="11"/>
        <color theme="1"/>
        <rFont val="Tahoma"/>
        <family val="2"/>
      </rPr>
      <t xml:space="preserve">    </t>
    </r>
    <r>
      <rPr>
        <sz val="11"/>
        <color theme="1"/>
        <rFont val="宋体"/>
        <family val="3"/>
        <charset val="134"/>
      </rPr>
      <t>带速</t>
    </r>
    <r>
      <rPr>
        <sz val="11"/>
        <color theme="1"/>
        <rFont val="Tahoma"/>
        <family val="2"/>
      </rPr>
      <t>v</t>
    </r>
    <phoneticPr fontId="4" type="noConversion"/>
  </si>
  <si>
    <r>
      <rPr>
        <sz val="11"/>
        <color theme="1"/>
        <rFont val="宋体"/>
        <family val="3"/>
        <charset val="134"/>
      </rPr>
      <t>初选小带轮直径</t>
    </r>
    <r>
      <rPr>
        <sz val="11"/>
        <color theme="1"/>
        <rFont val="Tahoma"/>
        <family val="2"/>
      </rPr>
      <t>d1</t>
    </r>
    <phoneticPr fontId="4" type="noConversion"/>
  </si>
  <si>
    <r>
      <rPr>
        <sz val="11"/>
        <color theme="1"/>
        <rFont val="宋体"/>
        <family val="3"/>
        <charset val="134"/>
      </rPr>
      <t>验算带速</t>
    </r>
    <r>
      <rPr>
        <sz val="11"/>
        <color theme="1"/>
        <rFont val="Tahoma"/>
        <family val="2"/>
      </rPr>
      <t>v(m/s)</t>
    </r>
    <phoneticPr fontId="4" type="noConversion"/>
  </si>
  <si>
    <r>
      <rPr>
        <sz val="11"/>
        <color theme="1"/>
        <rFont val="Tahoma"/>
        <family val="2"/>
        <charset val="134"/>
      </rPr>
      <t>计算大轮直径</t>
    </r>
    <r>
      <rPr>
        <sz val="11"/>
        <color theme="1"/>
        <rFont val="Tahoma"/>
        <family val="2"/>
      </rPr>
      <t>d2</t>
    </r>
    <phoneticPr fontId="4" type="noConversion"/>
  </si>
  <si>
    <r>
      <rPr>
        <sz val="11"/>
        <color theme="1"/>
        <rFont val="Tahoma"/>
        <family val="2"/>
        <charset val="134"/>
      </rPr>
      <t>圆整大轮直径</t>
    </r>
    <r>
      <rPr>
        <sz val="11"/>
        <color theme="1"/>
        <rFont val="Tahoma"/>
        <family val="2"/>
      </rPr>
      <t>d2</t>
    </r>
    <phoneticPr fontId="4" type="noConversion"/>
  </si>
  <si>
    <r>
      <rPr>
        <sz val="11"/>
        <color theme="1"/>
        <rFont val="宋体"/>
        <family val="3"/>
        <charset val="134"/>
      </rPr>
      <t>初定中心距</t>
    </r>
    <r>
      <rPr>
        <sz val="11"/>
        <color theme="1"/>
        <rFont val="Tahoma"/>
        <family val="2"/>
      </rPr>
      <t>a0</t>
    </r>
    <phoneticPr fontId="4" type="noConversion"/>
  </si>
  <si>
    <r>
      <rPr>
        <sz val="11"/>
        <color theme="1"/>
        <rFont val="宋体"/>
        <family val="3"/>
        <charset val="134"/>
      </rPr>
      <t>计算基准长度</t>
    </r>
    <r>
      <rPr>
        <sz val="11"/>
        <color theme="1"/>
        <rFont val="Tahoma"/>
        <family val="2"/>
      </rPr>
      <t>Ld0</t>
    </r>
    <phoneticPr fontId="4" type="noConversion"/>
  </si>
  <si>
    <r>
      <rPr>
        <sz val="11"/>
        <color theme="1"/>
        <rFont val="宋体"/>
        <family val="3"/>
        <charset val="134"/>
      </rPr>
      <t>圆整基准长度</t>
    </r>
    <r>
      <rPr>
        <sz val="11"/>
        <color theme="1"/>
        <rFont val="Tahoma"/>
        <family val="2"/>
      </rPr>
      <t>Ld</t>
    </r>
    <phoneticPr fontId="4" type="noConversion"/>
  </si>
  <si>
    <r>
      <rPr>
        <sz val="11"/>
        <color theme="1"/>
        <rFont val="宋体"/>
        <family val="3"/>
        <charset val="134"/>
      </rPr>
      <t>实际中心距</t>
    </r>
    <r>
      <rPr>
        <sz val="11"/>
        <color theme="1"/>
        <rFont val="Tahoma"/>
        <family val="2"/>
      </rPr>
      <t>a</t>
    </r>
    <phoneticPr fontId="4" type="noConversion"/>
  </si>
  <si>
    <r>
      <t>5</t>
    </r>
    <r>
      <rPr>
        <sz val="11"/>
        <color theme="1"/>
        <rFont val="宋体"/>
        <family val="3"/>
        <charset val="134"/>
      </rPr>
      <t>，验算小轮包角</t>
    </r>
    <r>
      <rPr>
        <sz val="11"/>
        <color theme="1"/>
        <rFont val="Tahoma"/>
        <family val="2"/>
      </rPr>
      <t>α1</t>
    </r>
    <phoneticPr fontId="4" type="noConversion"/>
  </si>
  <si>
    <r>
      <rPr>
        <sz val="11"/>
        <color theme="1"/>
        <rFont val="宋体"/>
        <family val="3"/>
        <charset val="134"/>
      </rPr>
      <t>计算</t>
    </r>
    <r>
      <rPr>
        <sz val="11"/>
        <color theme="1"/>
        <rFont val="Tahoma"/>
        <family val="2"/>
      </rPr>
      <t>α1</t>
    </r>
    <phoneticPr fontId="4" type="noConversion"/>
  </si>
  <si>
    <r>
      <rPr>
        <sz val="11"/>
        <color theme="1"/>
        <rFont val="宋体"/>
        <family val="3"/>
        <charset val="134"/>
      </rPr>
      <t>一般≥</t>
    </r>
    <r>
      <rPr>
        <sz val="11"/>
        <color theme="1"/>
        <rFont val="Tahoma"/>
        <family val="2"/>
      </rPr>
      <t>120,</t>
    </r>
    <r>
      <rPr>
        <sz val="11"/>
        <color theme="1"/>
        <rFont val="宋体"/>
        <family val="3"/>
        <charset val="134"/>
      </rPr>
      <t>至少</t>
    </r>
    <r>
      <rPr>
        <sz val="11"/>
        <color theme="1"/>
        <rFont val="Tahoma"/>
        <family val="2"/>
      </rPr>
      <t>90°</t>
    </r>
    <phoneticPr fontId="4" type="noConversion"/>
  </si>
  <si>
    <r>
      <rPr>
        <sz val="11"/>
        <color theme="1"/>
        <rFont val="宋体"/>
        <family val="3"/>
        <charset val="134"/>
      </rPr>
      <t>单根</t>
    </r>
    <r>
      <rPr>
        <sz val="11"/>
        <color theme="1"/>
        <rFont val="Tahoma"/>
        <family val="2"/>
      </rPr>
      <t>V</t>
    </r>
    <r>
      <rPr>
        <sz val="11"/>
        <color theme="1"/>
        <rFont val="宋体"/>
        <family val="3"/>
        <charset val="134"/>
      </rPr>
      <t>带额定功率</t>
    </r>
    <r>
      <rPr>
        <sz val="11"/>
        <color theme="1"/>
        <rFont val="Tahoma"/>
        <family val="2"/>
      </rPr>
      <t>P0</t>
    </r>
    <phoneticPr fontId="4" type="noConversion"/>
  </si>
  <si>
    <r>
      <rPr>
        <sz val="11"/>
        <color theme="1"/>
        <rFont val="Tahoma"/>
        <family val="2"/>
        <charset val="134"/>
      </rPr>
      <t>单根额定功率增量△</t>
    </r>
    <r>
      <rPr>
        <sz val="11"/>
        <color theme="1"/>
        <rFont val="Tahoma"/>
        <family val="2"/>
      </rPr>
      <t>P0</t>
    </r>
    <phoneticPr fontId="4" type="noConversion"/>
  </si>
  <si>
    <r>
      <rPr>
        <sz val="11"/>
        <color theme="1"/>
        <rFont val="宋体"/>
        <family val="3"/>
        <charset val="134"/>
      </rPr>
      <t>长度系数</t>
    </r>
    <r>
      <rPr>
        <sz val="11"/>
        <color theme="1"/>
        <rFont val="Tahoma"/>
        <family val="2"/>
      </rPr>
      <t>KL</t>
    </r>
    <phoneticPr fontId="4" type="noConversion"/>
  </si>
  <si>
    <r>
      <rPr>
        <sz val="11"/>
        <color theme="1"/>
        <rFont val="宋体"/>
        <family val="3"/>
        <charset val="134"/>
      </rPr>
      <t>包角修正系数</t>
    </r>
    <r>
      <rPr>
        <sz val="11"/>
        <color theme="1"/>
        <rFont val="Tahoma"/>
        <family val="2"/>
      </rPr>
      <t>Kα</t>
    </r>
    <phoneticPr fontId="4" type="noConversion"/>
  </si>
  <si>
    <r>
      <rPr>
        <sz val="11"/>
        <color theme="1"/>
        <rFont val="宋体"/>
        <family val="3"/>
        <charset val="134"/>
      </rPr>
      <t>单根</t>
    </r>
    <r>
      <rPr>
        <sz val="11"/>
        <color theme="1"/>
        <rFont val="Tahoma"/>
        <family val="2"/>
      </rPr>
      <t>V</t>
    </r>
    <r>
      <rPr>
        <sz val="11"/>
        <color theme="1"/>
        <rFont val="宋体"/>
        <family val="3"/>
        <charset val="134"/>
      </rPr>
      <t>带修正额定功率</t>
    </r>
    <r>
      <rPr>
        <sz val="11"/>
        <color theme="1"/>
        <rFont val="Tahoma"/>
        <family val="2"/>
      </rPr>
      <t>Pr</t>
    </r>
    <phoneticPr fontId="4" type="noConversion"/>
  </si>
  <si>
    <r>
      <t>Kα*KL*9(P0+</t>
    </r>
    <r>
      <rPr>
        <sz val="11"/>
        <color theme="1"/>
        <rFont val="宋体"/>
        <family val="3"/>
        <charset val="134"/>
      </rPr>
      <t>△</t>
    </r>
    <r>
      <rPr>
        <sz val="11"/>
        <color theme="1"/>
        <rFont val="Tahoma"/>
        <family val="2"/>
      </rPr>
      <t>P0)</t>
    </r>
    <phoneticPr fontId="4" type="noConversion"/>
  </si>
  <si>
    <r>
      <rPr>
        <sz val="11"/>
        <color theme="1"/>
        <rFont val="宋体"/>
        <family val="3"/>
        <charset val="134"/>
      </rPr>
      <t>皮带根数计算</t>
    </r>
    <r>
      <rPr>
        <sz val="11"/>
        <color theme="1"/>
        <rFont val="Tahoma"/>
        <family val="2"/>
      </rPr>
      <t>Z</t>
    </r>
    <phoneticPr fontId="4" type="noConversion"/>
  </si>
  <si>
    <t>Pca/Pr</t>
    <phoneticPr fontId="4" type="noConversion"/>
  </si>
  <si>
    <r>
      <rPr>
        <sz val="11"/>
        <color theme="1"/>
        <rFont val="宋体"/>
        <family val="3"/>
        <charset val="134"/>
      </rPr>
      <t>实际取值</t>
    </r>
    <r>
      <rPr>
        <sz val="11"/>
        <color theme="1"/>
        <rFont val="Tahoma"/>
        <family val="2"/>
      </rPr>
      <t>Z</t>
    </r>
    <phoneticPr fontId="4" type="noConversion"/>
  </si>
  <si>
    <r>
      <t>V</t>
    </r>
    <r>
      <rPr>
        <sz val="11"/>
        <color theme="1"/>
        <rFont val="宋体"/>
        <family val="3"/>
        <charset val="134"/>
      </rPr>
      <t>带单位质量</t>
    </r>
    <r>
      <rPr>
        <sz val="11"/>
        <color theme="1"/>
        <rFont val="Tahoma"/>
        <family val="2"/>
      </rPr>
      <t>q(kg/m)</t>
    </r>
    <phoneticPr fontId="4" type="noConversion"/>
  </si>
  <si>
    <r>
      <rPr>
        <sz val="11"/>
        <color theme="1"/>
        <rFont val="宋体"/>
        <family val="3"/>
        <charset val="134"/>
      </rPr>
      <t>应少于</t>
    </r>
    <r>
      <rPr>
        <sz val="11"/>
        <color theme="1"/>
        <rFont val="Tahoma"/>
        <family val="2"/>
        <charset val="134"/>
      </rPr>
      <t>10</t>
    </r>
    <r>
      <rPr>
        <sz val="11"/>
        <color theme="1"/>
        <rFont val="宋体"/>
        <family val="3"/>
        <charset val="134"/>
      </rPr>
      <t>根</t>
    </r>
    <phoneticPr fontId="4" type="noConversion"/>
  </si>
  <si>
    <r>
      <rPr>
        <sz val="11"/>
        <color theme="1"/>
        <rFont val="宋体"/>
        <family val="3"/>
        <charset val="134"/>
      </rPr>
      <t>单根最小初拉力</t>
    </r>
    <r>
      <rPr>
        <sz val="11"/>
        <color theme="1"/>
        <rFont val="Tahoma"/>
        <family val="2"/>
      </rPr>
      <t>F0min</t>
    </r>
    <phoneticPr fontId="4" type="noConversion"/>
  </si>
  <si>
    <r>
      <rPr>
        <sz val="11"/>
        <color theme="1"/>
        <rFont val="宋体"/>
        <family val="3"/>
        <charset val="134"/>
      </rPr>
      <t>新安装最小初拉</t>
    </r>
    <r>
      <rPr>
        <sz val="11"/>
        <color theme="1"/>
        <rFont val="Tahoma"/>
        <family val="2"/>
      </rPr>
      <t>1.5F0min</t>
    </r>
    <phoneticPr fontId="4" type="noConversion"/>
  </si>
  <si>
    <r>
      <rPr>
        <sz val="11"/>
        <color theme="1"/>
        <rFont val="宋体"/>
        <family val="3"/>
        <charset val="134"/>
      </rPr>
      <t>运转后最小初拉</t>
    </r>
    <r>
      <rPr>
        <sz val="11"/>
        <color theme="1"/>
        <rFont val="Tahoma"/>
        <family val="2"/>
      </rPr>
      <t>1.3F0min</t>
    </r>
    <phoneticPr fontId="4" type="noConversion"/>
  </si>
  <si>
    <t>安装时保证初拉力＞左侧值,F0测定方法《机械设计》P158</t>
    <phoneticPr fontId="4" type="noConversion"/>
  </si>
  <si>
    <r>
      <t>8</t>
    </r>
    <r>
      <rPr>
        <sz val="11"/>
        <color theme="1"/>
        <rFont val="宋体"/>
        <family val="3"/>
        <charset val="134"/>
      </rPr>
      <t>，计算压轴力</t>
    </r>
    <r>
      <rPr>
        <sz val="11"/>
        <color theme="1"/>
        <rFont val="Tahoma"/>
        <family val="2"/>
        <charset val="134"/>
      </rPr>
      <t>Fp</t>
    </r>
    <phoneticPr fontId="4" type="noConversion"/>
  </si>
  <si>
    <r>
      <t>7</t>
    </r>
    <r>
      <rPr>
        <sz val="11"/>
        <color theme="1"/>
        <rFont val="宋体"/>
        <family val="3"/>
        <charset val="134"/>
      </rPr>
      <t>，确定带的初拉力</t>
    </r>
    <r>
      <rPr>
        <sz val="11"/>
        <color theme="1"/>
        <rFont val="Tahoma"/>
        <family val="2"/>
        <charset val="134"/>
      </rPr>
      <t>F0</t>
    </r>
    <phoneticPr fontId="4" type="noConversion"/>
  </si>
  <si>
    <r>
      <rPr>
        <sz val="11"/>
        <color theme="1"/>
        <rFont val="宋体"/>
        <family val="3"/>
        <charset val="134"/>
      </rPr>
      <t>作用在轴上的压轴力</t>
    </r>
    <r>
      <rPr>
        <sz val="11"/>
        <color theme="1"/>
        <rFont val="Tahoma"/>
        <family val="2"/>
      </rPr>
      <t>Fp</t>
    </r>
    <phoneticPr fontId="4" type="noConversion"/>
  </si>
  <si>
    <r>
      <t>2*sin</t>
    </r>
    <r>
      <rPr>
        <sz val="11"/>
        <color theme="1"/>
        <rFont val="宋体"/>
        <family val="3"/>
        <charset val="134"/>
      </rPr>
      <t>（</t>
    </r>
    <r>
      <rPr>
        <sz val="11"/>
        <color theme="1"/>
        <rFont val="Tahoma"/>
        <family val="2"/>
      </rPr>
      <t>0.5α</t>
    </r>
    <r>
      <rPr>
        <sz val="11"/>
        <color theme="1"/>
        <rFont val="宋体"/>
        <family val="3"/>
        <charset val="134"/>
      </rPr>
      <t>）</t>
    </r>
    <r>
      <rPr>
        <sz val="11"/>
        <color theme="1"/>
        <rFont val="Tahoma"/>
        <family val="2"/>
      </rPr>
      <t>Z*F0</t>
    </r>
    <phoneticPr fontId="4" type="noConversion"/>
  </si>
  <si>
    <t>工作机
载荷性质</t>
    <phoneticPr fontId="4" type="noConversion"/>
  </si>
  <si>
    <t>空、轻载启动</t>
    <phoneticPr fontId="4" type="noConversion"/>
  </si>
  <si>
    <t>重载启动</t>
    <phoneticPr fontId="4" type="noConversion"/>
  </si>
  <si>
    <r>
      <t>³</t>
    </r>
    <r>
      <rPr>
        <sz val="11"/>
        <color theme="1"/>
        <rFont val="Times New Roman"/>
        <family val="1"/>
      </rPr>
      <t>2.0</t>
    </r>
  </si>
  <si>
    <t>1~1.01</t>
    <phoneticPr fontId="4" type="noConversion"/>
  </si>
  <si>
    <t>1.02~1.04</t>
    <phoneticPr fontId="4" type="noConversion"/>
  </si>
  <si>
    <t>1.05~1.08</t>
    <phoneticPr fontId="4" type="noConversion"/>
  </si>
  <si>
    <t>1.09~1.12</t>
    <phoneticPr fontId="4" type="noConversion"/>
  </si>
  <si>
    <t>1.13~1.18</t>
    <phoneticPr fontId="4" type="noConversion"/>
  </si>
  <si>
    <t>1.25~1.34</t>
    <phoneticPr fontId="4" type="noConversion"/>
  </si>
  <si>
    <t>1.35~1.51</t>
    <phoneticPr fontId="4" type="noConversion"/>
  </si>
  <si>
    <t>1.52~1.55</t>
    <phoneticPr fontId="4" type="noConversion"/>
  </si>
  <si>
    <t>1.25~1.74</t>
    <phoneticPr fontId="4" type="noConversion"/>
  </si>
  <si>
    <r>
      <rPr>
        <sz val="10"/>
        <color theme="1"/>
        <rFont val="宋体"/>
        <family val="3"/>
        <charset val="134"/>
      </rPr>
      <t>＞</t>
    </r>
    <r>
      <rPr>
        <sz val="10"/>
        <color theme="1"/>
        <rFont val="Tahoma"/>
        <family val="2"/>
        <charset val="134"/>
      </rPr>
      <t>3.49</t>
    </r>
    <phoneticPr fontId="4" type="noConversion"/>
  </si>
  <si>
    <r>
      <t>6</t>
    </r>
    <r>
      <rPr>
        <sz val="11"/>
        <color theme="1"/>
        <rFont val="宋体"/>
        <family val="3"/>
        <charset val="134"/>
      </rPr>
      <t xml:space="preserve">，计算带根数
</t>
    </r>
    <r>
      <rPr>
        <sz val="11"/>
        <color theme="1"/>
        <rFont val="Tahoma"/>
        <family val="2"/>
      </rPr>
      <t xml:space="preserve">   </t>
    </r>
    <r>
      <rPr>
        <sz val="11"/>
        <color theme="1"/>
        <rFont val="宋体"/>
        <family val="3"/>
        <charset val="134"/>
      </rPr>
      <t>估算</t>
    </r>
    <r>
      <rPr>
        <sz val="11"/>
        <color theme="1"/>
        <rFont val="Tahoma"/>
        <family val="2"/>
      </rPr>
      <t>Z=Pca/P0
           =</t>
    </r>
    <phoneticPr fontId="4" type="noConversion"/>
  </si>
  <si>
    <r>
      <rPr>
        <sz val="11"/>
        <color theme="1"/>
        <rFont val="宋体"/>
        <family val="3"/>
        <charset val="134"/>
      </rPr>
      <t>注</t>
    </r>
    <r>
      <rPr>
        <sz val="11"/>
        <color theme="1"/>
        <rFont val="Tahoma"/>
        <family val="2"/>
        <charset val="134"/>
      </rPr>
      <t xml:space="preserve"> 1)</t>
    </r>
    <r>
      <rPr>
        <sz val="11"/>
        <color theme="1"/>
        <rFont val="宋体"/>
        <family val="3"/>
        <charset val="134"/>
      </rPr>
      <t>反复启动、正反转频繁、工作条件恶劣时，</t>
    </r>
    <r>
      <rPr>
        <sz val="11"/>
        <color theme="1"/>
        <rFont val="Tahoma"/>
        <family val="2"/>
        <charset val="134"/>
      </rPr>
      <t>KA</t>
    </r>
    <r>
      <rPr>
        <sz val="11"/>
        <color theme="1"/>
        <rFont val="宋体"/>
        <family val="3"/>
        <charset val="134"/>
      </rPr>
      <t>需</t>
    </r>
    <r>
      <rPr>
        <sz val="11"/>
        <color theme="1"/>
        <rFont val="Tahoma"/>
        <family val="2"/>
        <charset val="134"/>
      </rPr>
      <t>x1.2</t>
    </r>
    <r>
      <rPr>
        <sz val="11"/>
        <color theme="1"/>
        <rFont val="宋体"/>
        <family val="3"/>
        <charset val="134"/>
      </rPr>
      <t>；</t>
    </r>
    <r>
      <rPr>
        <sz val="11"/>
        <color theme="1"/>
        <rFont val="Tahoma"/>
        <family val="2"/>
        <charset val="134"/>
      </rPr>
      <t/>
    </r>
    <phoneticPr fontId="4" type="noConversion"/>
  </si>
  <si>
    <r>
      <t xml:space="preserve">    2</t>
    </r>
    <r>
      <rPr>
        <sz val="11"/>
        <color theme="1"/>
        <rFont val="宋体"/>
        <family val="3"/>
        <charset val="134"/>
      </rPr>
      <t>）增速时需要乘以下系数</t>
    </r>
    <phoneticPr fontId="4" type="noConversion"/>
  </si>
  <si>
    <r>
      <rPr>
        <sz val="11"/>
        <color theme="1"/>
        <rFont val="宋体"/>
        <family val="3"/>
        <charset val="134"/>
      </rPr>
      <t>表</t>
    </r>
    <r>
      <rPr>
        <sz val="11"/>
        <color theme="1"/>
        <rFont val="Tahoma"/>
        <family val="2"/>
        <charset val="134"/>
      </rPr>
      <t xml:space="preserve">6 </t>
    </r>
    <r>
      <rPr>
        <sz val="11"/>
        <color theme="1"/>
        <rFont val="宋体"/>
        <family val="3"/>
        <charset val="134"/>
      </rPr>
      <t>单根</t>
    </r>
    <r>
      <rPr>
        <sz val="11"/>
        <color theme="1"/>
        <rFont val="Tahoma"/>
        <family val="2"/>
        <charset val="134"/>
      </rPr>
      <t>V</t>
    </r>
    <r>
      <rPr>
        <sz val="11"/>
        <color theme="1"/>
        <rFont val="宋体"/>
        <family val="3"/>
        <charset val="134"/>
      </rPr>
      <t>带额定功率增量△</t>
    </r>
    <r>
      <rPr>
        <sz val="11"/>
        <color theme="1"/>
        <rFont val="Tahoma"/>
        <family val="2"/>
        <charset val="134"/>
      </rPr>
      <t>P0</t>
    </r>
    <phoneticPr fontId="4" type="noConversion"/>
  </si>
  <si>
    <r>
      <rPr>
        <sz val="11"/>
        <color theme="1"/>
        <rFont val="宋体"/>
        <family val="3"/>
        <charset val="134"/>
      </rPr>
      <t>表</t>
    </r>
    <r>
      <rPr>
        <sz val="11"/>
        <color theme="1"/>
        <rFont val="Tahoma"/>
        <family val="2"/>
        <charset val="134"/>
      </rPr>
      <t xml:space="preserve">7 </t>
    </r>
    <r>
      <rPr>
        <sz val="11"/>
        <color theme="1"/>
        <rFont val="宋体"/>
        <family val="3"/>
        <charset val="134"/>
      </rPr>
      <t>包角修正系数</t>
    </r>
    <r>
      <rPr>
        <sz val="11"/>
        <color theme="1"/>
        <rFont val="Tahoma"/>
        <family val="2"/>
        <charset val="134"/>
      </rPr>
      <t>Kα</t>
    </r>
    <phoneticPr fontId="4" type="noConversion"/>
  </si>
  <si>
    <t>表6</t>
    <phoneticPr fontId="4" type="noConversion"/>
  </si>
  <si>
    <r>
      <rPr>
        <sz val="11"/>
        <color rgb="FF0070C0"/>
        <rFont val="宋体"/>
        <family val="3"/>
        <charset val="134"/>
      </rPr>
      <t>表</t>
    </r>
    <r>
      <rPr>
        <sz val="11"/>
        <color rgb="FF0070C0"/>
        <rFont val="Tahoma"/>
        <family val="2"/>
      </rPr>
      <t>4</t>
    </r>
    <phoneticPr fontId="4" type="noConversion"/>
  </si>
  <si>
    <r>
      <rPr>
        <sz val="11"/>
        <color rgb="FF0070C0"/>
        <rFont val="宋体"/>
        <family val="3"/>
        <charset val="134"/>
      </rPr>
      <t>表</t>
    </r>
    <r>
      <rPr>
        <sz val="11"/>
        <color rgb="FF0070C0"/>
        <rFont val="Tahoma"/>
        <family val="2"/>
      </rPr>
      <t>3</t>
    </r>
    <phoneticPr fontId="4" type="noConversion"/>
  </si>
  <si>
    <r>
      <rPr>
        <sz val="11"/>
        <color rgb="FF0070C0"/>
        <rFont val="宋体"/>
        <family val="3"/>
        <charset val="134"/>
      </rPr>
      <t>表</t>
    </r>
    <r>
      <rPr>
        <sz val="11"/>
        <color rgb="FF0070C0"/>
        <rFont val="Tahoma"/>
        <family val="2"/>
      </rPr>
      <t>1</t>
    </r>
    <phoneticPr fontId="4" type="noConversion"/>
  </si>
  <si>
    <r>
      <rPr>
        <sz val="11"/>
        <color rgb="FF0070C0"/>
        <rFont val="宋体"/>
        <family val="3"/>
        <charset val="134"/>
      </rPr>
      <t>表</t>
    </r>
    <r>
      <rPr>
        <sz val="11"/>
        <color rgb="FF0070C0"/>
        <rFont val="Tahoma"/>
        <family val="2"/>
      </rPr>
      <t>2</t>
    </r>
    <phoneticPr fontId="4" type="noConversion"/>
  </si>
  <si>
    <t xml:space="preserve">文档信息
编写：图惜
参考：《机械设计——第八版》——蒲良贵、纪名刚
      《机械设计手册——第五版第三卷》——成大先
                                           2018.8.3
</t>
    <phoneticPr fontId="4" type="noConversion"/>
  </si>
  <si>
    <t>小带轮基准D1(mm)</t>
    <phoneticPr fontId="4" type="noConversion"/>
  </si>
  <si>
    <t>小轮包角α(°)</t>
    <phoneticPr fontId="4" type="noConversion"/>
  </si>
  <si>
    <r>
      <t xml:space="preserve">Z </t>
    </r>
    <r>
      <rPr>
        <u/>
        <sz val="16"/>
        <rFont val="宋体"/>
        <family val="3"/>
        <charset val="134"/>
      </rPr>
      <t>A</t>
    </r>
    <r>
      <rPr>
        <sz val="16"/>
        <rFont val="宋体"/>
        <family val="3"/>
        <charset val="134"/>
      </rPr>
      <t xml:space="preserve"> </t>
    </r>
    <r>
      <rPr>
        <b/>
        <sz val="16"/>
        <rFont val="宋体"/>
        <family val="3"/>
        <charset val="134"/>
      </rPr>
      <t xml:space="preserve">B 
</t>
    </r>
    <r>
      <rPr>
        <i/>
        <sz val="16"/>
        <rFont val="宋体"/>
        <family val="3"/>
        <charset val="134"/>
      </rPr>
      <t xml:space="preserve">C </t>
    </r>
    <r>
      <rPr>
        <sz val="16"/>
        <color rgb="FF00B050"/>
        <rFont val="宋体"/>
        <family val="3"/>
        <charset val="134"/>
      </rPr>
      <t>D</t>
    </r>
    <r>
      <rPr>
        <sz val="16"/>
        <rFont val="宋体"/>
        <family val="3"/>
        <charset val="134"/>
      </rPr>
      <t xml:space="preserve"> </t>
    </r>
    <r>
      <rPr>
        <strike/>
        <sz val="16"/>
        <rFont val="宋体"/>
        <family val="3"/>
        <charset val="134"/>
      </rPr>
      <t>E</t>
    </r>
    <phoneticPr fontId="4" type="noConversion"/>
  </si>
  <si>
    <r>
      <t>小轮转速</t>
    </r>
    <r>
      <rPr>
        <sz val="12"/>
        <color theme="1"/>
        <rFont val="Times New Roman"/>
        <family val="1"/>
      </rPr>
      <t xml:space="preserve"> </t>
    </r>
    <r>
      <rPr>
        <i/>
        <sz val="12"/>
        <color theme="1"/>
        <rFont val="Times New Roman"/>
        <family val="1"/>
      </rPr>
      <t>n</t>
    </r>
    <r>
      <rPr>
        <vertAlign val="subscript"/>
        <sz val="12"/>
        <color theme="1"/>
        <rFont val="Times New Roman"/>
        <family val="1"/>
      </rPr>
      <t>1</t>
    </r>
    <r>
      <rPr>
        <sz val="12"/>
        <color theme="1"/>
        <rFont val="Times New Roman"/>
        <family val="1"/>
      </rPr>
      <t xml:space="preserve"> (r/min)</t>
    </r>
    <phoneticPr fontId="4" type="noConversion"/>
  </si>
  <si>
    <t>传送平带所需转矩计算与电机选型</t>
    <phoneticPr fontId="4" type="noConversion"/>
  </si>
  <si>
    <r>
      <rPr>
        <sz val="11"/>
        <color theme="1"/>
        <rFont val="宋体"/>
        <family val="3"/>
        <charset val="134"/>
      </rPr>
      <t>主动轮直径</t>
    </r>
    <r>
      <rPr>
        <sz val="11"/>
        <color theme="1"/>
        <rFont val="Tahoma"/>
        <family val="2"/>
      </rPr>
      <t>d(mm)</t>
    </r>
    <phoneticPr fontId="4" type="noConversion"/>
  </si>
  <si>
    <t>滚筒式</t>
  </si>
  <si>
    <t>滚筒式</t>
    <phoneticPr fontId="4" type="noConversion"/>
  </si>
  <si>
    <t>平板式</t>
    <phoneticPr fontId="4" type="noConversion"/>
  </si>
  <si>
    <r>
      <rPr>
        <sz val="11"/>
        <color theme="1"/>
        <rFont val="宋体"/>
        <family val="3"/>
        <charset val="134"/>
      </rPr>
      <t>图</t>
    </r>
    <r>
      <rPr>
        <sz val="11"/>
        <color theme="1"/>
        <rFont val="Tahoma"/>
        <family val="2"/>
        <charset val="134"/>
      </rPr>
      <t>1</t>
    </r>
    <r>
      <rPr>
        <sz val="11"/>
        <color theme="1"/>
        <rFont val="宋体"/>
        <family val="3"/>
        <charset val="134"/>
      </rPr>
      <t>，基本模型</t>
    </r>
    <phoneticPr fontId="4" type="noConversion"/>
  </si>
  <si>
    <r>
      <rPr>
        <sz val="11"/>
        <color theme="1"/>
        <rFont val="宋体"/>
        <family val="3"/>
        <charset val="134"/>
      </rPr>
      <t>图</t>
    </r>
    <r>
      <rPr>
        <sz val="11"/>
        <color theme="1"/>
        <rFont val="Tahoma"/>
        <family val="2"/>
        <charset val="134"/>
      </rPr>
      <t>2</t>
    </r>
    <r>
      <rPr>
        <sz val="11"/>
        <color theme="1"/>
        <rFont val="宋体"/>
        <family val="3"/>
        <charset val="134"/>
      </rPr>
      <t>，偏斜重量示意图</t>
    </r>
    <phoneticPr fontId="4" type="noConversion"/>
  </si>
  <si>
    <r>
      <rPr>
        <sz val="11"/>
        <color theme="1"/>
        <rFont val="宋体"/>
        <family val="3"/>
        <charset val="134"/>
      </rPr>
      <t>图</t>
    </r>
    <r>
      <rPr>
        <sz val="11"/>
        <color theme="1"/>
        <rFont val="Tahoma"/>
        <family val="2"/>
        <charset val="134"/>
      </rPr>
      <t>3</t>
    </r>
    <r>
      <rPr>
        <sz val="11"/>
        <color theme="1"/>
        <rFont val="宋体"/>
        <family val="3"/>
        <charset val="134"/>
      </rPr>
      <t>，电机与减速机厂家样本</t>
    </r>
    <phoneticPr fontId="4" type="noConversion"/>
  </si>
  <si>
    <r>
      <rPr>
        <sz val="11"/>
        <color theme="1"/>
        <rFont val="宋体"/>
        <family val="3"/>
        <charset val="134"/>
      </rPr>
      <t>负载总重量</t>
    </r>
    <r>
      <rPr>
        <sz val="11"/>
        <color theme="1"/>
        <rFont val="Tahoma"/>
        <family val="2"/>
      </rPr>
      <t>M1(kg)</t>
    </r>
    <phoneticPr fontId="4" type="noConversion"/>
  </si>
  <si>
    <r>
      <rPr>
        <sz val="11"/>
        <color theme="1"/>
        <rFont val="宋体"/>
        <family val="3"/>
        <charset val="134"/>
      </rPr>
      <t>皮带重量</t>
    </r>
    <r>
      <rPr>
        <sz val="11"/>
        <color theme="1"/>
        <rFont val="Tahoma"/>
        <family val="2"/>
      </rPr>
      <t>M2(kg)</t>
    </r>
    <phoneticPr fontId="4" type="noConversion"/>
  </si>
  <si>
    <r>
      <rPr>
        <sz val="11"/>
        <color theme="1"/>
        <rFont val="宋体"/>
        <family val="3"/>
        <charset val="134"/>
      </rPr>
      <t>倾斜角</t>
    </r>
    <r>
      <rPr>
        <sz val="11"/>
        <color theme="1"/>
        <rFont val="Tahoma"/>
        <family val="2"/>
      </rPr>
      <t>θ(°)</t>
    </r>
    <phoneticPr fontId="4" type="noConversion"/>
  </si>
  <si>
    <r>
      <rPr>
        <sz val="11"/>
        <color theme="1"/>
        <rFont val="宋体"/>
        <family val="3"/>
        <charset val="134"/>
      </rPr>
      <t>偏斜重量</t>
    </r>
    <r>
      <rPr>
        <sz val="11"/>
        <color theme="1"/>
        <rFont val="Tahoma"/>
        <family val="2"/>
      </rPr>
      <t>Z(kg)</t>
    </r>
    <phoneticPr fontId="4" type="noConversion"/>
  </si>
  <si>
    <r>
      <rPr>
        <sz val="11"/>
        <color theme="1"/>
        <rFont val="宋体"/>
        <family val="3"/>
        <charset val="134"/>
      </rPr>
      <t>图</t>
    </r>
    <r>
      <rPr>
        <sz val="11"/>
        <color theme="1"/>
        <rFont val="Tahoma"/>
        <family val="2"/>
      </rPr>
      <t>2</t>
    </r>
    <phoneticPr fontId="4" type="noConversion"/>
  </si>
  <si>
    <r>
      <rPr>
        <sz val="10"/>
        <color theme="1"/>
        <rFont val="宋体"/>
        <family val="3"/>
        <charset val="134"/>
      </rPr>
      <t>尾端供给端负载重量</t>
    </r>
    <r>
      <rPr>
        <sz val="10"/>
        <color theme="1"/>
        <rFont val="Tahoma"/>
        <family val="2"/>
      </rPr>
      <t>W(kg)</t>
    </r>
    <phoneticPr fontId="4" type="noConversion"/>
  </si>
  <si>
    <r>
      <rPr>
        <sz val="11"/>
        <color theme="1"/>
        <rFont val="宋体"/>
        <family val="3"/>
        <charset val="134"/>
      </rPr>
      <t>预紧力等</t>
    </r>
    <phoneticPr fontId="4" type="noConversion"/>
  </si>
  <si>
    <r>
      <rPr>
        <sz val="11"/>
        <color rgb="FF0070C0"/>
        <rFont val="宋体"/>
        <family val="3"/>
        <charset val="134"/>
      </rPr>
      <t>见说明</t>
    </r>
    <phoneticPr fontId="4" type="noConversion"/>
  </si>
  <si>
    <t>1.25*BP</t>
    <phoneticPr fontId="4" type="noConversion"/>
  </si>
  <si>
    <t>FL=9.8*EBP*0.5d/1000</t>
    <phoneticPr fontId="4" type="noConversion"/>
  </si>
  <si>
    <r>
      <rPr>
        <sz val="11"/>
        <color theme="1"/>
        <rFont val="宋体"/>
        <family val="3"/>
        <charset val="134"/>
      </rPr>
      <t>根据</t>
    </r>
    <r>
      <rPr>
        <sz val="11"/>
        <color theme="1"/>
        <rFont val="Tahoma"/>
        <family val="2"/>
      </rPr>
      <t>n</t>
    </r>
    <r>
      <rPr>
        <sz val="11"/>
        <color theme="1"/>
        <rFont val="宋体"/>
        <family val="3"/>
        <charset val="134"/>
      </rPr>
      <t>和</t>
    </r>
    <r>
      <rPr>
        <sz val="11"/>
        <color theme="1"/>
        <rFont val="Tahoma"/>
        <family val="2"/>
      </rPr>
      <t>T</t>
    </r>
    <r>
      <rPr>
        <sz val="11"/>
        <color theme="1"/>
        <rFont val="宋体"/>
        <family val="3"/>
        <charset val="134"/>
      </rPr>
      <t>选电机与减速机</t>
    </r>
    <phoneticPr fontId="4" type="noConversion"/>
  </si>
  <si>
    <r>
      <rPr>
        <sz val="11"/>
        <color theme="1"/>
        <rFont val="宋体"/>
        <family val="3"/>
        <charset val="134"/>
      </rPr>
      <t>见厂家样本</t>
    </r>
    <phoneticPr fontId="4" type="noConversion"/>
  </si>
  <si>
    <r>
      <rPr>
        <sz val="11"/>
        <color theme="1"/>
        <rFont val="宋体"/>
        <family val="3"/>
        <charset val="134"/>
      </rPr>
      <t>带速</t>
    </r>
    <r>
      <rPr>
        <sz val="11"/>
        <color theme="1"/>
        <rFont val="Tahoma"/>
        <family val="2"/>
      </rPr>
      <t>v(mm/s)</t>
    </r>
    <phoneticPr fontId="4" type="noConversion"/>
  </si>
  <si>
    <r>
      <rPr>
        <sz val="11"/>
        <color theme="1"/>
        <rFont val="宋体"/>
        <family val="3"/>
        <charset val="134"/>
      </rPr>
      <t>主动轮转速</t>
    </r>
    <r>
      <rPr>
        <sz val="11"/>
        <color theme="1"/>
        <rFont val="Tahoma"/>
        <family val="2"/>
      </rPr>
      <t>n(r/min)</t>
    </r>
    <phoneticPr fontId="4" type="noConversion"/>
  </si>
  <si>
    <r>
      <rPr>
        <sz val="11"/>
        <color theme="1"/>
        <rFont val="宋体"/>
        <family val="3"/>
        <charset val="134"/>
      </rPr>
      <t>摩擦因数</t>
    </r>
    <r>
      <rPr>
        <sz val="11"/>
        <color theme="1"/>
        <rFont val="Tahoma"/>
        <family val="2"/>
      </rPr>
      <t>f</t>
    </r>
    <phoneticPr fontId="4" type="noConversion"/>
  </si>
  <si>
    <t>5~30m/s</t>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</si>
  <si>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，带速不宜过高或过低，推荐</t>
    </r>
    <r>
      <rPr>
        <sz val="11"/>
        <color rgb="FFFF0000"/>
        <rFont val="Tahoma"/>
        <family val="2"/>
      </rPr>
      <t>5~25m/s</t>
    </r>
    <r>
      <rPr>
        <sz val="11"/>
        <color rgb="FFFF0000"/>
        <rFont val="宋体"/>
        <family val="3"/>
        <charset val="134"/>
      </rPr>
      <t>，最高带速＜</t>
    </r>
    <r>
      <rPr>
        <sz val="11"/>
        <color rgb="FFFF0000"/>
        <rFont val="Tahoma"/>
        <family val="2"/>
      </rPr>
      <t>30m/s</t>
    </r>
    <r>
      <rPr>
        <sz val="11"/>
        <color theme="1"/>
        <rFont val="宋体"/>
        <family val="3"/>
        <charset val="134"/>
      </rPr>
      <t>，由表</t>
    </r>
    <r>
      <rPr>
        <sz val="11"/>
        <color theme="1"/>
        <rFont val="Tahoma"/>
        <family val="2"/>
      </rPr>
      <t>5</t>
    </r>
    <r>
      <rPr>
        <sz val="11"/>
        <color theme="1"/>
        <rFont val="宋体"/>
        <family val="3"/>
        <charset val="134"/>
      </rPr>
      <t>可知，大部分情况下，</t>
    </r>
    <r>
      <rPr>
        <sz val="11"/>
        <color theme="1"/>
        <rFont val="Tahoma"/>
        <family val="2"/>
      </rPr>
      <t>V</t>
    </r>
    <r>
      <rPr>
        <sz val="11"/>
        <color theme="1"/>
        <rFont val="宋体"/>
        <family val="3"/>
        <charset val="134"/>
      </rPr>
      <t xml:space="preserve">带的额定功率随带速增加而增加，所有在多级传动中，一般讲带传动设置在高速级（电机输出级）。
</t>
    </r>
    <r>
      <rPr>
        <sz val="11"/>
        <color theme="1"/>
        <rFont val="Tahoma"/>
        <family val="2"/>
      </rPr>
      <t xml:space="preserve">    2</t>
    </r>
    <r>
      <rPr>
        <sz val="11"/>
        <color theme="1"/>
        <rFont val="宋体"/>
        <family val="3"/>
        <charset val="134"/>
      </rPr>
      <t>，带轮的材料，常用</t>
    </r>
    <r>
      <rPr>
        <sz val="11"/>
        <color rgb="FFFF0000"/>
        <rFont val="Tahoma"/>
        <family val="2"/>
      </rPr>
      <t>HT150</t>
    </r>
    <r>
      <rPr>
        <sz val="11"/>
        <color rgb="FFFF0000"/>
        <rFont val="宋体"/>
        <family val="3"/>
        <charset val="134"/>
      </rPr>
      <t>或</t>
    </r>
    <r>
      <rPr>
        <sz val="11"/>
        <color rgb="FFFF0000"/>
        <rFont val="Tahoma"/>
        <family val="2"/>
      </rPr>
      <t>HT200</t>
    </r>
    <r>
      <rPr>
        <sz val="11"/>
        <color theme="1"/>
        <rFont val="宋体"/>
        <family val="3"/>
        <charset val="134"/>
      </rPr>
      <t xml:space="preserve">；转速高是可采用铸钢或钢板冲压焊接；小功率时可采用铸铝或塑料。
</t>
    </r>
    <r>
      <rPr>
        <sz val="11"/>
        <color theme="1"/>
        <rFont val="Tahoma"/>
        <family val="2"/>
      </rPr>
      <t xml:space="preserve">    3</t>
    </r>
    <r>
      <rPr>
        <sz val="11"/>
        <color theme="1"/>
        <rFont val="宋体"/>
        <family val="3"/>
        <charset val="134"/>
      </rPr>
      <t>，小轮包角一般应</t>
    </r>
    <r>
      <rPr>
        <sz val="11"/>
        <color rgb="FFFF0000"/>
        <rFont val="宋体"/>
        <family val="3"/>
        <charset val="134"/>
      </rPr>
      <t>≥</t>
    </r>
    <r>
      <rPr>
        <sz val="11"/>
        <color rgb="FFFF0000"/>
        <rFont val="Tahoma"/>
        <family val="2"/>
      </rPr>
      <t>120°</t>
    </r>
    <r>
      <rPr>
        <sz val="11"/>
        <color theme="1"/>
        <rFont val="宋体"/>
        <family val="3"/>
        <charset val="134"/>
      </rPr>
      <t xml:space="preserve">，否则可加大中心距或增加张紧轮。
</t>
    </r>
    <r>
      <rPr>
        <sz val="11"/>
        <color theme="1"/>
        <rFont val="Tahoma"/>
        <family val="2"/>
      </rPr>
      <t xml:space="preserve">    4</t>
    </r>
    <r>
      <rPr>
        <sz val="11"/>
        <color theme="1"/>
        <rFont val="宋体"/>
        <family val="3"/>
        <charset val="134"/>
      </rPr>
      <t>，</t>
    </r>
    <r>
      <rPr>
        <sz val="11"/>
        <color theme="1"/>
        <rFont val="Tahoma"/>
        <family val="2"/>
      </rPr>
      <t>V</t>
    </r>
    <r>
      <rPr>
        <sz val="11"/>
        <color theme="1"/>
        <rFont val="宋体"/>
        <family val="3"/>
        <charset val="134"/>
      </rPr>
      <t>带尺寸与轮槽尺寸见下表</t>
    </r>
    <phoneticPr fontId="4" type="noConversion"/>
  </si>
  <si>
    <t xml:space="preserve">文档信息
编写：图惜
资料来源：前桥教育
                                           2018.8.3 </t>
    <phoneticPr fontId="4" type="noConversion"/>
  </si>
  <si>
    <r>
      <t>4</t>
    </r>
    <r>
      <rPr>
        <sz val="11"/>
        <color theme="1"/>
        <rFont val="宋体"/>
        <family val="3"/>
        <charset val="134"/>
      </rPr>
      <t>，确定中心距</t>
    </r>
    <r>
      <rPr>
        <sz val="11"/>
        <color theme="1"/>
        <rFont val="Tahoma"/>
        <family val="2"/>
      </rPr>
      <t xml:space="preserve">a
    </t>
    </r>
    <r>
      <rPr>
        <sz val="11"/>
        <color theme="1"/>
        <rFont val="宋体"/>
        <family val="3"/>
        <charset val="134"/>
      </rPr>
      <t>和基准长度</t>
    </r>
    <r>
      <rPr>
        <sz val="11"/>
        <color theme="1"/>
        <rFont val="Tahoma"/>
        <family val="2"/>
      </rPr>
      <t>Ld</t>
    </r>
    <phoneticPr fontId="4" type="noConversion"/>
  </si>
  <si>
    <r>
      <rPr>
        <sz val="11"/>
        <color rgb="FFFF0000"/>
        <rFont val="Tahoma"/>
        <family val="2"/>
      </rPr>
      <t xml:space="preserve">20  22.4  25  28  31.5  35.5  40  45 </t>
    </r>
    <r>
      <rPr>
        <u/>
        <sz val="11"/>
        <color rgb="FFFF0000"/>
        <rFont val="Tahoma"/>
        <family val="2"/>
      </rPr>
      <t xml:space="preserve"> 50  56  63  67  71 </t>
    </r>
    <r>
      <rPr>
        <b/>
        <u/>
        <sz val="11"/>
        <color rgb="FFFF0000"/>
        <rFont val="Tahoma"/>
        <family val="2"/>
      </rPr>
      <t xml:space="preserve"> </t>
    </r>
    <r>
      <rPr>
        <b/>
        <u/>
        <sz val="11"/>
        <rFont val="Tahoma"/>
        <family val="2"/>
      </rPr>
      <t>75</t>
    </r>
    <r>
      <rPr>
        <b/>
        <u/>
        <sz val="11"/>
        <color rgb="FFFF0000"/>
        <rFont val="Tahoma"/>
        <family val="2"/>
      </rPr>
      <t xml:space="preserve">  80  85  90</t>
    </r>
    <r>
      <rPr>
        <b/>
        <u/>
        <sz val="11"/>
        <color theme="1"/>
        <rFont val="Tahoma"/>
        <family val="2"/>
      </rPr>
      <t xml:space="preserve">  95  </t>
    </r>
    <r>
      <rPr>
        <b/>
        <u/>
        <sz val="11"/>
        <color rgb="FFFF0000"/>
        <rFont val="Tahoma"/>
        <family val="2"/>
      </rPr>
      <t>100</t>
    </r>
    <r>
      <rPr>
        <b/>
        <sz val="11"/>
        <color theme="1"/>
        <rFont val="Tahoma"/>
        <family val="2"/>
      </rPr>
      <t xml:space="preserve">  106  </t>
    </r>
    <r>
      <rPr>
        <b/>
        <u/>
        <sz val="11"/>
        <color rgb="FFFF0000"/>
        <rFont val="Tahoma"/>
        <family val="2"/>
      </rPr>
      <t>112</t>
    </r>
    <r>
      <rPr>
        <b/>
        <sz val="11"/>
        <color theme="1"/>
        <rFont val="Tahoma"/>
        <family val="2"/>
      </rPr>
      <t xml:space="preserve">  118 </t>
    </r>
    <r>
      <rPr>
        <b/>
        <sz val="11"/>
        <color rgb="FFFF0000"/>
        <rFont val="Tahoma"/>
        <family val="2"/>
      </rPr>
      <t xml:space="preserve"> </t>
    </r>
    <r>
      <rPr>
        <b/>
        <i/>
        <u/>
        <sz val="11"/>
        <color rgb="FFFF0000"/>
        <rFont val="Tahoma"/>
        <family val="2"/>
      </rPr>
      <t xml:space="preserve">125 </t>
    </r>
    <r>
      <rPr>
        <b/>
        <i/>
        <u/>
        <sz val="11"/>
        <color theme="1"/>
        <rFont val="Tahoma"/>
        <family val="2"/>
      </rPr>
      <t xml:space="preserve">  132  140 150 160</t>
    </r>
    <r>
      <rPr>
        <i/>
        <sz val="11"/>
        <color theme="1"/>
        <rFont val="Tahoma"/>
        <family val="2"/>
      </rPr>
      <t xml:space="preserve"> 170 </t>
    </r>
    <r>
      <rPr>
        <b/>
        <i/>
        <u/>
        <sz val="11"/>
        <color theme="1"/>
        <rFont val="Tahoma"/>
        <family val="2"/>
      </rPr>
      <t>180 200</t>
    </r>
    <r>
      <rPr>
        <sz val="11"/>
        <color theme="1"/>
        <rFont val="Tahoma"/>
        <family val="2"/>
      </rPr>
      <t xml:space="preserve">  212  </t>
    </r>
    <r>
      <rPr>
        <b/>
        <i/>
        <u/>
        <sz val="11"/>
        <color theme="1"/>
        <rFont val="Tahoma"/>
        <family val="2"/>
      </rPr>
      <t>224</t>
    </r>
    <r>
      <rPr>
        <sz val="11"/>
        <color theme="1"/>
        <rFont val="Tahoma"/>
        <family val="2"/>
      </rPr>
      <t xml:space="preserve">  236  </t>
    </r>
    <r>
      <rPr>
        <b/>
        <i/>
        <u/>
        <sz val="11"/>
        <color theme="1"/>
        <rFont val="Tahoma"/>
        <family val="2"/>
      </rPr>
      <t>250</t>
    </r>
    <r>
      <rPr>
        <i/>
        <sz val="11"/>
        <color theme="1"/>
        <rFont val="Tahoma"/>
        <family val="2"/>
      </rPr>
      <t xml:space="preserve"> </t>
    </r>
    <r>
      <rPr>
        <sz val="11"/>
        <color theme="1"/>
        <rFont val="Tahoma"/>
        <family val="2"/>
      </rPr>
      <t xml:space="preserve"> 265 </t>
    </r>
    <r>
      <rPr>
        <i/>
        <sz val="11"/>
        <color theme="1"/>
        <rFont val="Tahoma"/>
        <family val="2"/>
      </rPr>
      <t xml:space="preserve"> </t>
    </r>
    <r>
      <rPr>
        <b/>
        <i/>
        <u/>
        <sz val="11"/>
        <color theme="1"/>
        <rFont val="Tahoma"/>
        <family val="2"/>
      </rPr>
      <t>280</t>
    </r>
    <r>
      <rPr>
        <sz val="11"/>
        <color theme="1"/>
        <rFont val="Tahoma"/>
        <family val="2"/>
      </rPr>
      <t xml:space="preserve">  300  </t>
    </r>
    <r>
      <rPr>
        <b/>
        <i/>
        <u/>
        <sz val="11"/>
        <color theme="1"/>
        <rFont val="Tahoma"/>
        <family val="2"/>
      </rPr>
      <t xml:space="preserve">315  </t>
    </r>
    <r>
      <rPr>
        <b/>
        <i/>
        <u/>
        <sz val="11"/>
        <color rgb="FF00B050"/>
        <rFont val="Tahoma"/>
        <family val="2"/>
      </rPr>
      <t>355</t>
    </r>
    <r>
      <rPr>
        <i/>
        <sz val="11"/>
        <color rgb="FF00B050"/>
        <rFont val="Tahoma"/>
        <family val="2"/>
      </rPr>
      <t xml:space="preserve">  </t>
    </r>
    <r>
      <rPr>
        <sz val="11"/>
        <color rgb="FF00B050"/>
        <rFont val="Tahoma"/>
        <family val="2"/>
      </rPr>
      <t xml:space="preserve">375 </t>
    </r>
    <r>
      <rPr>
        <i/>
        <sz val="11"/>
        <color rgb="FF00B050"/>
        <rFont val="Tahoma"/>
        <family val="2"/>
      </rPr>
      <t xml:space="preserve"> </t>
    </r>
    <r>
      <rPr>
        <b/>
        <i/>
        <u/>
        <sz val="11"/>
        <color rgb="FF00B050"/>
        <rFont val="Tahoma"/>
        <family val="2"/>
      </rPr>
      <t>400</t>
    </r>
    <r>
      <rPr>
        <b/>
        <sz val="11"/>
        <color rgb="FF00B050"/>
        <rFont val="Tahoma"/>
        <family val="2"/>
      </rPr>
      <t xml:space="preserve"> </t>
    </r>
    <r>
      <rPr>
        <sz val="11"/>
        <color rgb="FF00B050"/>
        <rFont val="Tahoma"/>
        <family val="2"/>
      </rPr>
      <t xml:space="preserve"> 425  </t>
    </r>
    <r>
      <rPr>
        <b/>
        <i/>
        <sz val="11"/>
        <color rgb="FF00B050"/>
        <rFont val="Tahoma"/>
        <family val="2"/>
      </rPr>
      <t>450</t>
    </r>
    <r>
      <rPr>
        <sz val="11"/>
        <color rgb="FF00B050"/>
        <rFont val="Tahoma"/>
        <family val="2"/>
      </rPr>
      <t xml:space="preserve">  475 </t>
    </r>
    <r>
      <rPr>
        <b/>
        <sz val="11"/>
        <color rgb="FF00B050"/>
        <rFont val="Tahoma"/>
        <family val="2"/>
      </rPr>
      <t xml:space="preserve"> </t>
    </r>
    <r>
      <rPr>
        <b/>
        <i/>
        <strike/>
        <u/>
        <sz val="11"/>
        <color rgb="FF00B050"/>
        <rFont val="Tahoma"/>
        <family val="2"/>
      </rPr>
      <t>500</t>
    </r>
    <r>
      <rPr>
        <strike/>
        <sz val="11"/>
        <color theme="1"/>
        <rFont val="Tahoma"/>
        <family val="2"/>
      </rPr>
      <t xml:space="preserve"> 530 </t>
    </r>
    <r>
      <rPr>
        <b/>
        <i/>
        <strike/>
        <sz val="11"/>
        <color theme="1"/>
        <rFont val="Tahoma"/>
        <family val="2"/>
      </rPr>
      <t xml:space="preserve"> </t>
    </r>
    <r>
      <rPr>
        <b/>
        <i/>
        <strike/>
        <sz val="11"/>
        <color rgb="FF00B050"/>
        <rFont val="Tahoma"/>
        <family val="2"/>
      </rPr>
      <t>560</t>
    </r>
    <r>
      <rPr>
        <b/>
        <strike/>
        <sz val="11"/>
        <color rgb="FF00B050"/>
        <rFont val="Tahoma"/>
        <family val="2"/>
      </rPr>
      <t xml:space="preserve">  </t>
    </r>
    <r>
      <rPr>
        <i/>
        <strike/>
        <sz val="11"/>
        <color rgb="FF00B050"/>
        <rFont val="Tahoma"/>
        <family val="2"/>
      </rPr>
      <t>600</t>
    </r>
    <r>
      <rPr>
        <b/>
        <strike/>
        <sz val="11"/>
        <color rgb="FF00B050"/>
        <rFont val="Tahoma"/>
        <family val="2"/>
      </rPr>
      <t xml:space="preserve">  </t>
    </r>
    <r>
      <rPr>
        <b/>
        <strike/>
        <u/>
        <sz val="11"/>
        <color rgb="FF00B050"/>
        <rFont val="Tahoma"/>
        <family val="2"/>
      </rPr>
      <t>630</t>
    </r>
    <r>
      <rPr>
        <strike/>
        <sz val="11"/>
        <color rgb="FF00B050"/>
        <rFont val="Tahoma"/>
        <family val="2"/>
      </rPr>
      <t xml:space="preserve"> </t>
    </r>
    <r>
      <rPr>
        <strike/>
        <sz val="11"/>
        <color theme="1"/>
        <rFont val="Tahoma"/>
        <family val="2"/>
      </rPr>
      <t xml:space="preserve">  670  </t>
    </r>
    <r>
      <rPr>
        <b/>
        <i/>
        <strike/>
        <sz val="11"/>
        <color rgb="FF00B050"/>
        <rFont val="Tahoma"/>
        <family val="2"/>
      </rPr>
      <t>710</t>
    </r>
    <r>
      <rPr>
        <i/>
        <sz val="11"/>
        <color rgb="FF00B050"/>
        <rFont val="Tahoma"/>
        <family val="2"/>
      </rPr>
      <t xml:space="preserve">  750</t>
    </r>
    <r>
      <rPr>
        <i/>
        <sz val="11"/>
        <color theme="1"/>
        <rFont val="Tahoma"/>
        <family val="2"/>
      </rPr>
      <t xml:space="preserve">  </t>
    </r>
    <r>
      <rPr>
        <b/>
        <i/>
        <strike/>
        <sz val="11"/>
        <color rgb="FF00B050"/>
        <rFont val="Tahoma"/>
        <family val="2"/>
      </rPr>
      <t>800</t>
    </r>
    <r>
      <rPr>
        <i/>
        <strike/>
        <sz val="11"/>
        <color rgb="FF00B050"/>
        <rFont val="Tahoma"/>
        <family val="2"/>
      </rPr>
      <t xml:space="preserve">  900  1000</t>
    </r>
    <r>
      <rPr>
        <i/>
        <sz val="11"/>
        <color rgb="FF00B050"/>
        <rFont val="Tahoma"/>
        <family val="2"/>
      </rPr>
      <t xml:space="preserve"> </t>
    </r>
    <r>
      <rPr>
        <sz val="11"/>
        <color rgb="FF00B050"/>
        <rFont val="Tahoma"/>
        <family val="2"/>
      </rPr>
      <t>1060</t>
    </r>
    <r>
      <rPr>
        <i/>
        <sz val="11"/>
        <color theme="1"/>
        <rFont val="Tahoma"/>
        <family val="2"/>
      </rPr>
      <t xml:space="preserve"> </t>
    </r>
    <r>
      <rPr>
        <i/>
        <strike/>
        <sz val="11"/>
        <color theme="1"/>
        <rFont val="Tahoma"/>
        <family val="2"/>
      </rPr>
      <t xml:space="preserve">1120 1250 1400  </t>
    </r>
    <r>
      <rPr>
        <strike/>
        <sz val="11"/>
        <color theme="1"/>
        <rFont val="Tahoma"/>
        <family val="2"/>
      </rPr>
      <t>1500</t>
    </r>
    <r>
      <rPr>
        <i/>
        <strike/>
        <sz val="11"/>
        <color theme="1"/>
        <rFont val="Tahoma"/>
        <family val="2"/>
      </rPr>
      <t xml:space="preserve">  1600</t>
    </r>
    <r>
      <rPr>
        <strike/>
        <sz val="11"/>
        <color theme="1"/>
        <rFont val="Tahoma"/>
        <family val="2"/>
      </rPr>
      <t xml:space="preserve"> </t>
    </r>
    <r>
      <rPr>
        <strike/>
        <sz val="11"/>
        <color rgb="FF00B050"/>
        <rFont val="Tahoma"/>
        <family val="2"/>
      </rPr>
      <t xml:space="preserve">1800 </t>
    </r>
    <r>
      <rPr>
        <i/>
        <strike/>
        <sz val="11"/>
        <color rgb="FF00B050"/>
        <rFont val="Tahoma"/>
        <family val="2"/>
      </rPr>
      <t>2000</t>
    </r>
    <r>
      <rPr>
        <strike/>
        <sz val="11"/>
        <color theme="1"/>
        <rFont val="Tahoma"/>
        <family val="2"/>
      </rPr>
      <t xml:space="preserve"> 2240 2500</t>
    </r>
    <phoneticPr fontId="4" type="noConversion"/>
  </si>
  <si>
    <t>同步带选型向导</t>
    <phoneticPr fontId="4" type="noConversion"/>
  </si>
  <si>
    <r>
      <rPr>
        <sz val="11"/>
        <color theme="1"/>
        <rFont val="宋体"/>
        <family val="3"/>
        <charset val="134"/>
      </rPr>
      <t>表</t>
    </r>
    <r>
      <rPr>
        <sz val="11"/>
        <color theme="1"/>
        <rFont val="Tahoma"/>
        <family val="2"/>
        <charset val="134"/>
      </rPr>
      <t xml:space="preserve">1  </t>
    </r>
    <r>
      <rPr>
        <sz val="11"/>
        <color theme="1"/>
        <rFont val="宋体"/>
        <family val="3"/>
        <charset val="134"/>
      </rPr>
      <t>工作情况系数</t>
    </r>
    <r>
      <rPr>
        <sz val="11"/>
        <color theme="1"/>
        <rFont val="Tahoma"/>
        <family val="2"/>
        <charset val="134"/>
      </rPr>
      <t>KA</t>
    </r>
    <r>
      <rPr>
        <sz val="11"/>
        <color theme="1"/>
        <rFont val="宋体"/>
        <family val="3"/>
        <charset val="134"/>
      </rPr>
      <t xml:space="preserve">
</t>
    </r>
    <phoneticPr fontId="4" type="noConversion"/>
  </si>
  <si>
    <t>复印机、配油装置、测试仪表、放映机、医疗仪器</t>
    <phoneticPr fontId="4" type="noConversion"/>
  </si>
  <si>
    <t>清扫机、缝纫机、办公机械</t>
    <phoneticPr fontId="4" type="noConversion"/>
  </si>
  <si>
    <t>带式输送机、轻型包装机、烘干箱、筛选机、绕线机、木工机械、带锯、圆锥成型</t>
    <phoneticPr fontId="4" type="noConversion"/>
  </si>
  <si>
    <t>液体搅拌机、混面机、钻床、车床、螺纹加工机、印刷机、龙门刨床</t>
    <phoneticPr fontId="4" type="noConversion"/>
  </si>
  <si>
    <t>升降机、脱水机、清洗机、发电机、排风机、起重机、励磁机、锯木机、纺织机械</t>
    <phoneticPr fontId="4" type="noConversion"/>
  </si>
  <si>
    <t>液体搅拌机、带式输送机、镗床、磨床、铣床、齿轮泵、纺织机械、离心压缩泵</t>
    <phoneticPr fontId="4" type="noConversion"/>
  </si>
  <si>
    <t>离心机、刮板输送机、螺旋输送机、锤击式粉碎机、造纸制浆机</t>
    <phoneticPr fontId="4" type="noConversion"/>
  </si>
  <si>
    <t>粘土搅拌机、矿山用风扇、鼓风机、强制送风机</t>
    <phoneticPr fontId="4" type="noConversion"/>
  </si>
  <si>
    <t>网付式压缩机机、往复式泵、球磨机、棒磨机</t>
    <phoneticPr fontId="4" type="noConversion"/>
  </si>
  <si>
    <r>
      <rPr>
        <sz val="11"/>
        <color theme="1"/>
        <rFont val="宋体"/>
        <family val="3"/>
        <charset val="134"/>
      </rPr>
      <t>注</t>
    </r>
    <r>
      <rPr>
        <sz val="11"/>
        <color theme="1"/>
        <rFont val="Tahoma"/>
        <family val="2"/>
        <charset val="134"/>
      </rPr>
      <t xml:space="preserve"> 1)</t>
    </r>
    <r>
      <rPr>
        <sz val="11"/>
        <color theme="1"/>
        <rFont val="宋体"/>
        <family val="3"/>
        <charset val="134"/>
      </rPr>
      <t>反复启动、正反转频繁、严重冲击时，</t>
    </r>
    <r>
      <rPr>
        <sz val="11"/>
        <color theme="1"/>
        <rFont val="Tahoma"/>
        <family val="2"/>
        <charset val="134"/>
      </rPr>
      <t>KA</t>
    </r>
    <r>
      <rPr>
        <sz val="11"/>
        <color theme="1"/>
        <rFont val="宋体"/>
        <family val="3"/>
        <charset val="134"/>
      </rPr>
      <t>需</t>
    </r>
    <r>
      <rPr>
        <sz val="11"/>
        <color theme="1"/>
        <rFont val="Tahoma"/>
        <family val="2"/>
        <charset val="134"/>
      </rPr>
      <t>x1.2</t>
    </r>
    <r>
      <rPr>
        <sz val="11"/>
        <color theme="1"/>
        <rFont val="宋体"/>
        <family val="3"/>
        <charset val="134"/>
      </rPr>
      <t>；</t>
    </r>
    <r>
      <rPr>
        <sz val="11"/>
        <color theme="1"/>
        <rFont val="Tahoma"/>
        <family val="2"/>
        <charset val="134"/>
      </rPr>
      <t/>
    </r>
    <phoneticPr fontId="4" type="noConversion"/>
  </si>
  <si>
    <r>
      <t xml:space="preserve">    2</t>
    </r>
    <r>
      <rPr>
        <sz val="11"/>
        <color theme="1"/>
        <rFont val="宋体"/>
        <family val="3"/>
        <charset val="134"/>
      </rPr>
      <t>）增速时需要加上下系数</t>
    </r>
    <phoneticPr fontId="4" type="noConversion"/>
  </si>
  <si>
    <t>Z</t>
    <phoneticPr fontId="4" type="noConversion"/>
  </si>
  <si>
    <t>A</t>
    <phoneticPr fontId="4" type="noConversion"/>
  </si>
  <si>
    <t>B</t>
    <phoneticPr fontId="4" type="noConversion"/>
  </si>
  <si>
    <t>C</t>
    <phoneticPr fontId="4" type="noConversion"/>
  </si>
  <si>
    <t>D</t>
    <phoneticPr fontId="4" type="noConversion"/>
  </si>
  <si>
    <t>E</t>
    <phoneticPr fontId="4" type="noConversion"/>
  </si>
  <si>
    <t>SPZ</t>
    <phoneticPr fontId="4" type="noConversion"/>
  </si>
  <si>
    <t>SPA</t>
    <phoneticPr fontId="4" type="noConversion"/>
  </si>
  <si>
    <t>SPC</t>
    <phoneticPr fontId="4" type="noConversion"/>
  </si>
  <si>
    <t>SPD</t>
    <phoneticPr fontId="4" type="noConversion"/>
  </si>
  <si>
    <t>SPE</t>
    <phoneticPr fontId="4" type="noConversion"/>
  </si>
  <si>
    <t>MXL</t>
    <phoneticPr fontId="4" type="noConversion"/>
  </si>
  <si>
    <t>XL</t>
    <phoneticPr fontId="4" type="noConversion"/>
  </si>
  <si>
    <t>L</t>
  </si>
  <si>
    <t>L</t>
    <phoneticPr fontId="4" type="noConversion"/>
  </si>
  <si>
    <t>H</t>
    <phoneticPr fontId="4" type="noConversion"/>
  </si>
  <si>
    <t>XH</t>
    <phoneticPr fontId="4" type="noConversion"/>
  </si>
  <si>
    <t>XXH</t>
  </si>
  <si>
    <t>XXH</t>
    <phoneticPr fontId="4" type="noConversion"/>
  </si>
  <si>
    <r>
      <t>2</t>
    </r>
    <r>
      <rPr>
        <sz val="11"/>
        <color theme="1"/>
        <rFont val="宋体"/>
        <family val="3"/>
        <charset val="134"/>
      </rPr>
      <t xml:space="preserve">，确定带型和节
</t>
    </r>
    <r>
      <rPr>
        <sz val="11"/>
        <color theme="1"/>
        <rFont val="Tahoma"/>
        <family val="2"/>
      </rPr>
      <t xml:space="preserve">    </t>
    </r>
    <r>
      <rPr>
        <sz val="11"/>
        <color theme="1"/>
        <rFont val="宋体"/>
        <family val="3"/>
        <charset val="134"/>
      </rPr>
      <t>距</t>
    </r>
    <r>
      <rPr>
        <sz val="11"/>
        <color theme="1"/>
        <rFont val="Tahoma"/>
        <family val="2"/>
      </rPr>
      <t>Pb</t>
    </r>
    <phoneticPr fontId="4" type="noConversion"/>
  </si>
  <si>
    <r>
      <rPr>
        <sz val="11"/>
        <color theme="1"/>
        <rFont val="宋体"/>
        <family val="3"/>
        <charset val="134"/>
      </rPr>
      <t>节距</t>
    </r>
    <r>
      <rPr>
        <sz val="11"/>
        <color theme="1"/>
        <rFont val="Tahoma"/>
        <family val="2"/>
      </rPr>
      <t>Pb</t>
    </r>
    <phoneticPr fontId="4" type="noConversion"/>
  </si>
  <si>
    <t>XXL</t>
    <phoneticPr fontId="4" type="noConversion"/>
  </si>
  <si>
    <r>
      <rPr>
        <sz val="11"/>
        <color theme="1"/>
        <rFont val="宋体"/>
        <family val="3"/>
        <charset val="134"/>
      </rPr>
      <t>表</t>
    </r>
    <r>
      <rPr>
        <sz val="11"/>
        <color theme="1"/>
        <rFont val="Tahoma"/>
        <family val="2"/>
        <charset val="134"/>
      </rPr>
      <t xml:space="preserve">3 </t>
    </r>
    <r>
      <rPr>
        <sz val="11"/>
        <color theme="1"/>
        <rFont val="宋体"/>
        <family val="3"/>
        <charset val="134"/>
      </rPr>
      <t>带轮最小齿数</t>
    </r>
    <phoneticPr fontId="4" type="noConversion"/>
  </si>
  <si>
    <t>带型与最小许用齿数Zmin</t>
    <phoneticPr fontId="4" type="noConversion"/>
  </si>
  <si>
    <t>900~1199</t>
    <phoneticPr fontId="4" type="noConversion"/>
  </si>
  <si>
    <t>1200~1799</t>
    <phoneticPr fontId="4" type="noConversion"/>
  </si>
  <si>
    <t>1800~3599</t>
    <phoneticPr fontId="4" type="noConversion"/>
  </si>
  <si>
    <t>3~5</t>
    <phoneticPr fontId="4" type="noConversion"/>
  </si>
  <si>
    <t>8~10</t>
    <phoneticPr fontId="4" type="noConversion"/>
  </si>
  <si>
    <t>16~24</t>
    <phoneticPr fontId="4" type="noConversion"/>
  </si>
  <si>
    <r>
      <rPr>
        <sz val="12"/>
        <color theme="1"/>
        <rFont val="宋体"/>
        <family val="3"/>
        <charset val="134"/>
      </rPr>
      <t>＜</t>
    </r>
    <r>
      <rPr>
        <sz val="12"/>
        <color theme="1"/>
        <rFont val="Tahoma"/>
        <family val="2"/>
        <charset val="134"/>
      </rPr>
      <t>900</t>
    </r>
    <phoneticPr fontId="4" type="noConversion"/>
  </si>
  <si>
    <t>3600~4800</t>
    <phoneticPr fontId="4" type="noConversion"/>
  </si>
  <si>
    <r>
      <rPr>
        <sz val="12"/>
        <color theme="1"/>
        <rFont val="宋体"/>
        <family val="3"/>
        <charset val="134"/>
      </rPr>
      <t xml:space="preserve">小轮转速
</t>
    </r>
    <r>
      <rPr>
        <sz val="12"/>
        <color theme="1"/>
        <rFont val="Tahoma"/>
        <family val="2"/>
        <charset val="134"/>
      </rPr>
      <t>n1</t>
    </r>
    <r>
      <rPr>
        <sz val="12"/>
        <color theme="1"/>
        <rFont val="宋体"/>
        <family val="3"/>
        <charset val="134"/>
      </rPr>
      <t>（</t>
    </r>
    <r>
      <rPr>
        <sz val="12"/>
        <color theme="1"/>
        <rFont val="Tahoma"/>
        <family val="2"/>
        <charset val="134"/>
      </rPr>
      <t>r/min</t>
    </r>
    <r>
      <rPr>
        <sz val="12"/>
        <color theme="1"/>
        <rFont val="宋体"/>
        <family val="3"/>
        <charset val="134"/>
      </rPr>
      <t>）</t>
    </r>
    <phoneticPr fontId="4" type="noConversion"/>
  </si>
  <si>
    <t>小带轮齿数Z1</t>
    <phoneticPr fontId="4" type="noConversion"/>
  </si>
  <si>
    <r>
      <rPr>
        <sz val="11"/>
        <color theme="1"/>
        <rFont val="宋体"/>
        <family val="3"/>
        <charset val="134"/>
      </rPr>
      <t>大带轮齿数圆整</t>
    </r>
    <r>
      <rPr>
        <sz val="11"/>
        <color theme="1"/>
        <rFont val="Tahoma"/>
        <family val="2"/>
        <charset val="134"/>
      </rPr>
      <t>Z2</t>
    </r>
    <phoneticPr fontId="4" type="noConversion"/>
  </si>
  <si>
    <r>
      <rPr>
        <sz val="11"/>
        <color theme="1"/>
        <rFont val="宋体"/>
        <family val="3"/>
        <charset val="134"/>
      </rPr>
      <t>大带轮计算齿数</t>
    </r>
    <r>
      <rPr>
        <sz val="11"/>
        <color theme="1"/>
        <rFont val="Tahoma"/>
        <family val="2"/>
      </rPr>
      <t>Z2’</t>
    </r>
    <phoneticPr fontId="4" type="noConversion"/>
  </si>
  <si>
    <r>
      <rPr>
        <sz val="11"/>
        <color theme="1"/>
        <rFont val="宋体"/>
        <family val="3"/>
        <charset val="134"/>
      </rPr>
      <t>小带轮节圆</t>
    </r>
    <r>
      <rPr>
        <sz val="11"/>
        <color theme="1"/>
        <rFont val="Tahoma"/>
        <family val="2"/>
      </rPr>
      <t>d1</t>
    </r>
    <phoneticPr fontId="4" type="noConversion"/>
  </si>
  <si>
    <t>Z*Pb/π</t>
    <phoneticPr fontId="4" type="noConversion"/>
  </si>
  <si>
    <r>
      <rPr>
        <sz val="11"/>
        <color theme="1"/>
        <rFont val="宋体"/>
        <family val="3"/>
        <charset val="134"/>
      </rPr>
      <t>大带轮节圆</t>
    </r>
    <r>
      <rPr>
        <sz val="11"/>
        <color theme="1"/>
        <rFont val="Tahoma"/>
        <family val="2"/>
      </rPr>
      <t>d2</t>
    </r>
    <phoneticPr fontId="4" type="noConversion"/>
  </si>
  <si>
    <r>
      <t>4</t>
    </r>
    <r>
      <rPr>
        <sz val="11"/>
        <color theme="1"/>
        <rFont val="宋体"/>
        <family val="3"/>
        <charset val="134"/>
      </rPr>
      <t>，验证带速</t>
    </r>
    <r>
      <rPr>
        <sz val="11"/>
        <color theme="1"/>
        <rFont val="Tahoma"/>
        <family val="2"/>
      </rPr>
      <t>v</t>
    </r>
    <phoneticPr fontId="4" type="noConversion"/>
  </si>
  <si>
    <r>
      <rPr>
        <sz val="11"/>
        <color theme="1"/>
        <rFont val="宋体"/>
        <family val="3"/>
        <charset val="134"/>
      </rPr>
      <t>表</t>
    </r>
    <r>
      <rPr>
        <sz val="11"/>
        <color theme="1"/>
        <rFont val="Tahoma"/>
        <family val="2"/>
        <charset val="134"/>
      </rPr>
      <t xml:space="preserve">2 </t>
    </r>
    <r>
      <rPr>
        <sz val="11"/>
        <color theme="1"/>
        <rFont val="宋体"/>
        <family val="3"/>
        <charset val="134"/>
      </rPr>
      <t>梯形同步带选型、节距</t>
    </r>
    <r>
      <rPr>
        <sz val="11"/>
        <color theme="1"/>
        <rFont val="Tahoma"/>
        <family val="2"/>
        <charset val="134"/>
      </rPr>
      <t>Pb</t>
    </r>
    <r>
      <rPr>
        <sz val="11"/>
        <color theme="1"/>
        <rFont val="宋体"/>
        <family val="3"/>
        <charset val="134"/>
      </rPr>
      <t>、允许最大速度</t>
    </r>
    <r>
      <rPr>
        <sz val="11"/>
        <color theme="1"/>
        <rFont val="Tahoma"/>
        <family val="2"/>
        <charset val="134"/>
      </rPr>
      <t>Vmax</t>
    </r>
    <phoneticPr fontId="4" type="noConversion"/>
  </si>
  <si>
    <t>型号</t>
    <phoneticPr fontId="4" type="noConversion"/>
  </si>
  <si>
    <t>节距Pb</t>
    <phoneticPr fontId="4" type="noConversion"/>
  </si>
  <si>
    <t>Vmax</t>
    <phoneticPr fontId="4" type="noConversion"/>
  </si>
  <si>
    <r>
      <rPr>
        <sz val="11"/>
        <color theme="1"/>
        <rFont val="宋体"/>
        <family val="3"/>
        <charset val="134"/>
      </rPr>
      <t>允许最大速度</t>
    </r>
    <r>
      <rPr>
        <sz val="11"/>
        <color theme="1"/>
        <rFont val="Tahoma"/>
        <family val="2"/>
      </rPr>
      <t>Vmax</t>
    </r>
    <phoneticPr fontId="4" type="noConversion"/>
  </si>
  <si>
    <t>带速V</t>
    <phoneticPr fontId="4" type="noConversion"/>
  </si>
  <si>
    <t>40~50</t>
    <phoneticPr fontId="4" type="noConversion"/>
  </si>
  <si>
    <t>35~40</t>
    <phoneticPr fontId="4" type="noConversion"/>
  </si>
  <si>
    <t>25~30</t>
    <phoneticPr fontId="4" type="noConversion"/>
  </si>
  <si>
    <t>参考表2</t>
    <phoneticPr fontId="4" type="noConversion"/>
  </si>
  <si>
    <r>
      <rPr>
        <sz val="11"/>
        <color theme="1"/>
        <rFont val="宋体"/>
        <family val="3"/>
        <charset val="134"/>
      </rPr>
      <t>已知条件：传递功率</t>
    </r>
    <r>
      <rPr>
        <sz val="11"/>
        <color theme="1"/>
        <rFont val="Tahoma"/>
        <family val="2"/>
      </rPr>
      <t>P</t>
    </r>
    <r>
      <rPr>
        <sz val="11"/>
        <color theme="1"/>
        <rFont val="宋体"/>
        <family val="3"/>
        <charset val="134"/>
      </rPr>
      <t>，主动轮转速</t>
    </r>
    <r>
      <rPr>
        <sz val="11"/>
        <color theme="1"/>
        <rFont val="Tahoma"/>
        <family val="2"/>
      </rPr>
      <t>n1</t>
    </r>
    <r>
      <rPr>
        <sz val="11"/>
        <color theme="1"/>
        <rFont val="宋体"/>
        <family val="3"/>
        <charset val="134"/>
      </rPr>
      <t>，从动轮转速</t>
    </r>
    <r>
      <rPr>
        <sz val="11"/>
        <color theme="1"/>
        <rFont val="Tahoma"/>
        <family val="2"/>
      </rPr>
      <t>n2</t>
    </r>
    <r>
      <rPr>
        <sz val="11"/>
        <color theme="1"/>
        <rFont val="宋体"/>
        <family val="3"/>
        <charset val="134"/>
      </rPr>
      <t>或传动比</t>
    </r>
    <r>
      <rPr>
        <sz val="11"/>
        <color theme="1"/>
        <rFont val="Tahoma"/>
        <family val="2"/>
      </rPr>
      <t>i</t>
    </r>
    <r>
      <rPr>
        <sz val="11"/>
        <color theme="1"/>
        <rFont val="宋体"/>
        <family val="3"/>
        <charset val="134"/>
      </rPr>
      <t>，中心距</t>
    </r>
    <r>
      <rPr>
        <sz val="11"/>
        <color theme="1"/>
        <rFont val="Tahoma"/>
        <family val="2"/>
      </rPr>
      <t>a</t>
    </r>
    <phoneticPr fontId="4" type="noConversion"/>
  </si>
  <si>
    <r>
      <rPr>
        <sz val="11"/>
        <color theme="1"/>
        <rFont val="宋体"/>
        <family val="3"/>
        <charset val="134"/>
      </rPr>
      <t>中心距</t>
    </r>
    <r>
      <rPr>
        <sz val="11"/>
        <color theme="1"/>
        <rFont val="Tahoma"/>
        <family val="2"/>
      </rPr>
      <t>a(mm)</t>
    </r>
    <phoneticPr fontId="4" type="noConversion"/>
  </si>
  <si>
    <r>
      <t>5</t>
    </r>
    <r>
      <rPr>
        <sz val="11"/>
        <color theme="1"/>
        <rFont val="宋体"/>
        <family val="3"/>
        <charset val="134"/>
      </rPr>
      <t>，确定带长</t>
    </r>
    <phoneticPr fontId="4" type="noConversion"/>
  </si>
  <si>
    <r>
      <rPr>
        <sz val="11"/>
        <color theme="1"/>
        <rFont val="宋体"/>
        <family val="3"/>
        <charset val="134"/>
      </rPr>
      <t>计算基线长度</t>
    </r>
    <r>
      <rPr>
        <sz val="11"/>
        <color theme="1"/>
        <rFont val="Tahoma"/>
        <family val="2"/>
      </rPr>
      <t>Ld0</t>
    </r>
    <phoneticPr fontId="4" type="noConversion"/>
  </si>
  <si>
    <r>
      <t>3</t>
    </r>
    <r>
      <rPr>
        <sz val="11"/>
        <color theme="1"/>
        <rFont val="宋体"/>
        <family val="3"/>
        <charset val="134"/>
      </rPr>
      <t>，确定带轮齿数</t>
    </r>
    <r>
      <rPr>
        <sz val="11"/>
        <color theme="1"/>
        <rFont val="Tahoma"/>
        <family val="2"/>
      </rPr>
      <t xml:space="preserve"> 
    Z1</t>
    </r>
    <r>
      <rPr>
        <sz val="11"/>
        <color theme="1"/>
        <rFont val="宋体"/>
        <family val="3"/>
        <charset val="134"/>
      </rPr>
      <t>、</t>
    </r>
    <r>
      <rPr>
        <sz val="11"/>
        <color theme="1"/>
        <rFont val="Tahoma"/>
        <family val="2"/>
      </rPr>
      <t>Z2</t>
    </r>
    <r>
      <rPr>
        <sz val="11"/>
        <color theme="1"/>
        <rFont val="宋体"/>
        <family val="3"/>
        <charset val="134"/>
      </rPr>
      <t>与节圆</t>
    </r>
    <r>
      <rPr>
        <sz val="11"/>
        <color theme="1"/>
        <rFont val="Tahoma"/>
        <family val="2"/>
      </rPr>
      <t xml:space="preserve"> 
    </t>
    </r>
    <r>
      <rPr>
        <sz val="11"/>
        <color theme="1"/>
        <rFont val="宋体"/>
        <family val="3"/>
        <charset val="134"/>
      </rPr>
      <t>直径</t>
    </r>
    <r>
      <rPr>
        <sz val="11"/>
        <color theme="1"/>
        <rFont val="Tahoma"/>
        <family val="2"/>
      </rPr>
      <t>d1</t>
    </r>
    <r>
      <rPr>
        <sz val="11"/>
        <color theme="1"/>
        <rFont val="宋体"/>
        <family val="3"/>
        <charset val="134"/>
      </rPr>
      <t>、</t>
    </r>
    <r>
      <rPr>
        <sz val="11"/>
        <color theme="1"/>
        <rFont val="Tahoma"/>
        <family val="2"/>
      </rPr>
      <t>d2</t>
    </r>
    <phoneticPr fontId="4" type="noConversion"/>
  </si>
  <si>
    <r>
      <t>6</t>
    </r>
    <r>
      <rPr>
        <sz val="11"/>
        <color theme="1"/>
        <rFont val="宋体"/>
        <family val="3"/>
        <charset val="134"/>
      </rPr>
      <t>，计算中心距</t>
    </r>
    <r>
      <rPr>
        <sz val="11"/>
        <color theme="1"/>
        <rFont val="Tahoma"/>
        <family val="2"/>
      </rPr>
      <t>a</t>
    </r>
    <phoneticPr fontId="4" type="noConversion"/>
  </si>
  <si>
    <t>2Lp-(Z1+Z2)Pb</t>
    <phoneticPr fontId="4" type="noConversion"/>
  </si>
  <si>
    <t>中心距a(mm)</t>
    <phoneticPr fontId="4" type="noConversion"/>
  </si>
  <si>
    <r>
      <t>{M+[M</t>
    </r>
    <r>
      <rPr>
        <vertAlign val="superscript"/>
        <sz val="12"/>
        <color rgb="FF0070C0"/>
        <rFont val="Tahoma"/>
        <family val="2"/>
      </rPr>
      <t>2</t>
    </r>
    <r>
      <rPr>
        <sz val="11"/>
        <color rgb="FF0070C0"/>
        <rFont val="Tahoma"/>
        <family val="2"/>
      </rPr>
      <t>-8(d2-d1)</t>
    </r>
    <r>
      <rPr>
        <vertAlign val="superscript"/>
        <sz val="12"/>
        <color rgb="FF0070C0"/>
        <rFont val="Tahoma"/>
        <family val="2"/>
      </rPr>
      <t>2</t>
    </r>
    <r>
      <rPr>
        <sz val="11"/>
        <color rgb="FF0070C0"/>
        <rFont val="Tahoma"/>
        <family val="2"/>
      </rPr>
      <t>]</t>
    </r>
    <r>
      <rPr>
        <vertAlign val="superscript"/>
        <sz val="12"/>
        <color rgb="FF0070C0"/>
        <rFont val="Tahoma"/>
        <family val="2"/>
      </rPr>
      <t>1/2</t>
    </r>
    <r>
      <rPr>
        <sz val="11"/>
        <color rgb="FF0070C0"/>
        <rFont val="Tahoma"/>
        <family val="2"/>
      </rPr>
      <t>}/8</t>
    </r>
    <phoneticPr fontId="4" type="noConversion"/>
  </si>
  <si>
    <r>
      <t>7</t>
    </r>
    <r>
      <rPr>
        <sz val="11"/>
        <color theme="1"/>
        <rFont val="宋体"/>
        <family val="3"/>
        <charset val="134"/>
      </rPr>
      <t>，确定带宽</t>
    </r>
    <r>
      <rPr>
        <sz val="11"/>
        <color theme="1"/>
        <rFont val="Tahoma"/>
        <family val="2"/>
      </rPr>
      <t xml:space="preserve">        </t>
    </r>
    <phoneticPr fontId="4" type="noConversion"/>
  </si>
  <si>
    <t>同步带齿数Z</t>
    <phoneticPr fontId="4" type="noConversion"/>
  </si>
  <si>
    <t>M(mm)</t>
    <phoneticPr fontId="4" type="noConversion"/>
  </si>
  <si>
    <t>小带轮啮合齿数Zm</t>
    <phoneticPr fontId="4" type="noConversion"/>
  </si>
  <si>
    <r>
      <rPr>
        <sz val="11"/>
        <color theme="1"/>
        <rFont val="宋体"/>
        <family val="3"/>
        <charset val="134"/>
      </rPr>
      <t>啮合齿数系数</t>
    </r>
    <r>
      <rPr>
        <sz val="11"/>
        <color theme="1"/>
        <rFont val="Tahoma"/>
        <family val="2"/>
      </rPr>
      <t>Kz</t>
    </r>
    <phoneticPr fontId="4" type="noConversion"/>
  </si>
  <si>
    <t>基准额定功率P0</t>
    <phoneticPr fontId="4" type="noConversion"/>
  </si>
  <si>
    <r>
      <rPr>
        <sz val="11"/>
        <color rgb="FF0070C0"/>
        <rFont val="宋体"/>
        <family val="3"/>
        <charset val="134"/>
      </rPr>
      <t>表</t>
    </r>
    <r>
      <rPr>
        <sz val="11"/>
        <color rgb="FF0070C0"/>
        <rFont val="Tahoma"/>
        <family val="2"/>
      </rPr>
      <t>5</t>
    </r>
    <phoneticPr fontId="4" type="noConversion"/>
  </si>
  <si>
    <r>
      <rPr>
        <sz val="11"/>
        <color theme="1"/>
        <rFont val="宋体"/>
        <family val="3"/>
        <charset val="134"/>
      </rPr>
      <t>表</t>
    </r>
    <r>
      <rPr>
        <sz val="11"/>
        <color theme="1"/>
        <rFont val="Tahoma"/>
        <family val="2"/>
        <charset val="134"/>
      </rPr>
      <t>5 L</t>
    </r>
    <r>
      <rPr>
        <sz val="11"/>
        <color theme="1"/>
        <rFont val="宋体"/>
        <family val="3"/>
        <charset val="134"/>
      </rPr>
      <t>型同步带基准额定功率</t>
    </r>
    <r>
      <rPr>
        <sz val="11"/>
        <color theme="1"/>
        <rFont val="Tahoma"/>
        <family val="2"/>
        <charset val="134"/>
      </rPr>
      <t>P0</t>
    </r>
    <r>
      <rPr>
        <sz val="11"/>
        <color theme="1"/>
        <rFont val="宋体"/>
        <family val="3"/>
        <charset val="134"/>
      </rPr>
      <t>（节选自机械设计手册）</t>
    </r>
    <phoneticPr fontId="4" type="noConversion"/>
  </si>
  <si>
    <r>
      <rPr>
        <sz val="11"/>
        <color theme="1"/>
        <rFont val="宋体"/>
        <family val="3"/>
        <charset val="134"/>
      </rPr>
      <t>表</t>
    </r>
    <r>
      <rPr>
        <sz val="11"/>
        <color theme="1"/>
        <rFont val="Tahoma"/>
        <family val="2"/>
        <charset val="134"/>
      </rPr>
      <t xml:space="preserve">4 </t>
    </r>
    <r>
      <rPr>
        <sz val="11"/>
        <color theme="1"/>
        <rFont val="宋体"/>
        <family val="3"/>
        <charset val="134"/>
      </rPr>
      <t>下表为某厂家</t>
    </r>
    <r>
      <rPr>
        <sz val="11"/>
        <color theme="1"/>
        <rFont val="Tahoma"/>
        <family val="2"/>
        <charset val="134"/>
      </rPr>
      <t>L</t>
    </r>
    <r>
      <rPr>
        <sz val="11"/>
        <color theme="1"/>
        <rFont val="宋体"/>
        <family val="3"/>
        <charset val="134"/>
      </rPr>
      <t>型同步带规格，比国标多很多</t>
    </r>
    <phoneticPr fontId="4" type="noConversion"/>
  </si>
  <si>
    <r>
      <rPr>
        <sz val="11"/>
        <color theme="1"/>
        <rFont val="宋体"/>
        <family val="3"/>
        <charset val="134"/>
      </rPr>
      <t>表</t>
    </r>
    <r>
      <rPr>
        <sz val="11"/>
        <color theme="1"/>
        <rFont val="Tahoma"/>
        <family val="2"/>
        <charset val="134"/>
      </rPr>
      <t>4</t>
    </r>
    <r>
      <rPr>
        <sz val="11"/>
        <color theme="1"/>
        <rFont val="宋体"/>
        <family val="3"/>
        <charset val="134"/>
      </rPr>
      <t>附</t>
    </r>
    <r>
      <rPr>
        <sz val="11"/>
        <color theme="1"/>
        <rFont val="Tahoma"/>
        <family val="2"/>
        <charset val="134"/>
      </rPr>
      <t xml:space="preserve">  </t>
    </r>
    <r>
      <rPr>
        <sz val="11"/>
        <color theme="1"/>
        <rFont val="宋体"/>
        <family val="3"/>
        <charset val="134"/>
      </rPr>
      <t>国标同步带规格</t>
    </r>
    <phoneticPr fontId="4" type="noConversion"/>
  </si>
  <si>
    <t>基准宽度bs0</t>
    <phoneticPr fontId="4" type="noConversion"/>
  </si>
  <si>
    <r>
      <rPr>
        <sz val="11"/>
        <color theme="1"/>
        <rFont val="宋体"/>
        <family val="3"/>
        <charset val="134"/>
      </rPr>
      <t>表</t>
    </r>
    <r>
      <rPr>
        <sz val="11"/>
        <color theme="1"/>
        <rFont val="Tahoma"/>
        <family val="2"/>
        <charset val="134"/>
      </rPr>
      <t xml:space="preserve">6 </t>
    </r>
    <r>
      <rPr>
        <sz val="11"/>
        <color theme="1"/>
        <rFont val="宋体"/>
        <family val="3"/>
        <charset val="134"/>
      </rPr>
      <t>同步带宽度参考值</t>
    </r>
    <phoneticPr fontId="4" type="noConversion"/>
  </si>
  <si>
    <t>代号</t>
    <phoneticPr fontId="4" type="noConversion"/>
  </si>
  <si>
    <t>带宽</t>
    <phoneticPr fontId="4" type="noConversion"/>
  </si>
  <si>
    <t>同步带宽度</t>
    <phoneticPr fontId="4" type="noConversion"/>
  </si>
  <si>
    <t>带轮宽度</t>
    <phoneticPr fontId="4" type="noConversion"/>
  </si>
  <si>
    <t>双面挡边</t>
    <phoneticPr fontId="4" type="noConversion"/>
  </si>
  <si>
    <t>单面挡边</t>
    <phoneticPr fontId="4" type="noConversion"/>
  </si>
  <si>
    <t>无挡边</t>
    <phoneticPr fontId="4" type="noConversion"/>
  </si>
  <si>
    <t>012</t>
    <phoneticPr fontId="4" type="noConversion"/>
  </si>
  <si>
    <t>019</t>
    <phoneticPr fontId="4" type="noConversion"/>
  </si>
  <si>
    <t>025</t>
    <phoneticPr fontId="4" type="noConversion"/>
  </si>
  <si>
    <t>031</t>
    <phoneticPr fontId="4" type="noConversion"/>
  </si>
  <si>
    <t>037</t>
    <phoneticPr fontId="4" type="noConversion"/>
  </si>
  <si>
    <t>050</t>
    <phoneticPr fontId="4" type="noConversion"/>
  </si>
  <si>
    <t>075</t>
    <phoneticPr fontId="4" type="noConversion"/>
  </si>
  <si>
    <t>300</t>
    <phoneticPr fontId="4" type="noConversion"/>
  </si>
  <si>
    <t>100</t>
    <phoneticPr fontId="4" type="noConversion"/>
  </si>
  <si>
    <t>MXL/XL</t>
    <phoneticPr fontId="4" type="noConversion"/>
  </si>
  <si>
    <t>XH</t>
    <phoneticPr fontId="4" type="noConversion"/>
  </si>
  <si>
    <t>301</t>
  </si>
  <si>
    <r>
      <rPr>
        <sz val="11"/>
        <color theme="1"/>
        <rFont val="宋体"/>
        <family val="3"/>
        <charset val="134"/>
      </rPr>
      <t>表</t>
    </r>
    <r>
      <rPr>
        <sz val="11"/>
        <color theme="1"/>
        <rFont val="Tahoma"/>
        <family val="2"/>
      </rPr>
      <t>6</t>
    </r>
    <phoneticPr fontId="4" type="noConversion"/>
  </si>
  <si>
    <t>选择带宽bs</t>
    <phoneticPr fontId="4" type="noConversion"/>
  </si>
  <si>
    <r>
      <rPr>
        <sz val="11"/>
        <color theme="1"/>
        <rFont val="宋体"/>
        <family val="3"/>
        <charset val="134"/>
      </rPr>
      <t>所需最小带宽</t>
    </r>
    <r>
      <rPr>
        <sz val="11"/>
        <color theme="1"/>
        <rFont val="Tahoma"/>
        <family val="2"/>
      </rPr>
      <t>bs'</t>
    </r>
    <phoneticPr fontId="4" type="noConversion"/>
  </si>
  <si>
    <t>同步带型号</t>
    <phoneticPr fontId="4" type="noConversion"/>
  </si>
  <si>
    <t>长度代号 带型 宽度代号</t>
    <phoneticPr fontId="4" type="noConversion"/>
  </si>
  <si>
    <r>
      <rPr>
        <sz val="11"/>
        <color theme="1"/>
        <rFont val="宋体"/>
        <family val="3"/>
        <charset val="134"/>
      </rPr>
      <t>表</t>
    </r>
    <r>
      <rPr>
        <sz val="11"/>
        <color theme="1"/>
        <rFont val="Tahoma"/>
        <family val="2"/>
        <charset val="134"/>
      </rPr>
      <t xml:space="preserve">4 </t>
    </r>
    <r>
      <rPr>
        <sz val="11"/>
        <color theme="1"/>
        <rFont val="宋体"/>
        <family val="3"/>
        <charset val="134"/>
      </rPr>
      <t>表</t>
    </r>
    <r>
      <rPr>
        <sz val="11"/>
        <color theme="1"/>
        <rFont val="Tahoma"/>
        <family val="2"/>
        <charset val="134"/>
      </rPr>
      <t>6</t>
    </r>
    <phoneticPr fontId="4" type="noConversion"/>
  </si>
  <si>
    <t xml:space="preserve">文档信息
编写：图惜
参考：《机械设计——第八版》——蒲良贵、纪名刚
      《机械设计手册——第五版第三卷》——成大先
                                           2018.8.5
</t>
    <phoneticPr fontId="4" type="noConversion"/>
  </si>
  <si>
    <r>
      <rPr>
        <sz val="11"/>
        <color theme="1"/>
        <rFont val="宋体"/>
        <family val="3"/>
        <charset val="134"/>
      </rPr>
      <t>表</t>
    </r>
    <r>
      <rPr>
        <sz val="11"/>
        <color theme="1"/>
        <rFont val="Tahoma"/>
        <family val="2"/>
        <charset val="134"/>
      </rPr>
      <t>2</t>
    </r>
    <r>
      <rPr>
        <sz val="11"/>
        <color theme="1"/>
        <rFont val="宋体"/>
        <family val="3"/>
        <charset val="134"/>
      </rPr>
      <t>附</t>
    </r>
    <r>
      <rPr>
        <sz val="11"/>
        <color theme="1"/>
        <rFont val="Tahoma"/>
        <family val="2"/>
        <charset val="134"/>
      </rPr>
      <t>1 T</t>
    </r>
    <r>
      <rPr>
        <sz val="11"/>
        <color theme="1"/>
        <rFont val="宋体"/>
        <family val="3"/>
        <charset val="134"/>
      </rPr>
      <t>型齿带选型图</t>
    </r>
    <phoneticPr fontId="4" type="noConversion"/>
  </si>
  <si>
    <r>
      <rPr>
        <sz val="11"/>
        <color theme="1"/>
        <rFont val="宋体"/>
        <family val="3"/>
        <charset val="134"/>
      </rPr>
      <t>表</t>
    </r>
    <r>
      <rPr>
        <sz val="11"/>
        <color theme="1"/>
        <rFont val="Tahoma"/>
        <family val="2"/>
        <charset val="134"/>
      </rPr>
      <t>2</t>
    </r>
    <r>
      <rPr>
        <sz val="11"/>
        <color theme="1"/>
        <rFont val="宋体"/>
        <family val="3"/>
        <charset val="134"/>
      </rPr>
      <t>附</t>
    </r>
    <r>
      <rPr>
        <sz val="11"/>
        <color theme="1"/>
        <rFont val="Tahoma"/>
        <family val="2"/>
        <charset val="134"/>
      </rPr>
      <t xml:space="preserve">2 </t>
    </r>
    <r>
      <rPr>
        <sz val="11"/>
        <color theme="1"/>
        <rFont val="宋体"/>
        <family val="3"/>
        <charset val="134"/>
      </rPr>
      <t>圆弧齿带选型图</t>
    </r>
    <phoneticPr fontId="4" type="noConversion"/>
  </si>
  <si>
    <r>
      <t>150</t>
    </r>
    <r>
      <rPr>
        <b/>
        <sz val="11"/>
        <color theme="1"/>
        <rFont val="宋体"/>
        <family val="3"/>
        <charset val="134"/>
      </rPr>
      <t>L</t>
    </r>
    <r>
      <rPr>
        <b/>
        <sz val="11"/>
        <color rgb="FFFF0000"/>
        <rFont val="宋体"/>
        <family val="3"/>
        <charset val="134"/>
      </rPr>
      <t>050</t>
    </r>
    <phoneticPr fontId="4" type="noConversion"/>
  </si>
  <si>
    <r>
      <rPr>
        <sz val="11"/>
        <color theme="1"/>
        <rFont val="宋体"/>
        <family val="3"/>
        <charset val="134"/>
      </rPr>
      <t>无挡板时不超过</t>
    </r>
    <r>
      <rPr>
        <sz val="11"/>
        <color theme="1"/>
        <rFont val="Tahoma"/>
        <family val="2"/>
      </rPr>
      <t>20°</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</si>
  <si>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，按齿形分类，同步带可分为体型和圆弧形</t>
    </r>
    <r>
      <rPr>
        <sz val="11"/>
        <color theme="1"/>
        <rFont val="Tahoma"/>
        <family val="2"/>
      </rPr>
      <t>(HTD/STD/RPP 2M~20M)</t>
    </r>
    <r>
      <rPr>
        <sz val="11"/>
        <color theme="1"/>
        <rFont val="宋体"/>
        <family val="3"/>
        <charset val="134"/>
      </rPr>
      <t xml:space="preserve">，其中梯
</t>
    </r>
    <r>
      <rPr>
        <sz val="11"/>
        <color theme="1"/>
        <rFont val="Tahoma"/>
        <family val="2"/>
      </rPr>
      <t xml:space="preserve">         </t>
    </r>
    <r>
      <rPr>
        <sz val="11"/>
        <color theme="1"/>
        <rFont val="宋体"/>
        <family val="3"/>
        <charset val="134"/>
      </rPr>
      <t>形又可分为周节制</t>
    </r>
    <r>
      <rPr>
        <sz val="11"/>
        <color theme="1"/>
        <rFont val="Tahoma"/>
        <family val="2"/>
      </rPr>
      <t>(</t>
    </r>
    <r>
      <rPr>
        <sz val="11"/>
        <color theme="1"/>
        <rFont val="宋体"/>
        <family val="3"/>
        <charset val="134"/>
      </rPr>
      <t>又称传统梯形带</t>
    </r>
    <r>
      <rPr>
        <sz val="11"/>
        <color theme="1"/>
        <rFont val="Tahoma"/>
        <family val="2"/>
      </rPr>
      <t>MXH~XXL)</t>
    </r>
    <r>
      <rPr>
        <sz val="11"/>
        <color theme="1"/>
        <rFont val="宋体"/>
        <family val="3"/>
        <charset val="134"/>
      </rPr>
      <t>、模数制</t>
    </r>
    <r>
      <rPr>
        <sz val="11"/>
        <color theme="1"/>
        <rFont val="Tahoma"/>
        <family val="2"/>
      </rPr>
      <t>(m1~m10)</t>
    </r>
    <r>
      <rPr>
        <sz val="11"/>
        <color theme="1"/>
        <rFont val="宋体"/>
        <family val="3"/>
        <charset val="134"/>
      </rPr>
      <t xml:space="preserve">、特殊节
</t>
    </r>
    <r>
      <rPr>
        <sz val="11"/>
        <color theme="1"/>
        <rFont val="Tahoma"/>
        <family val="2"/>
      </rPr>
      <t xml:space="preserve">         </t>
    </r>
    <r>
      <rPr>
        <sz val="11"/>
        <color theme="1"/>
        <rFont val="宋体"/>
        <family val="3"/>
        <charset val="134"/>
      </rPr>
      <t>距制</t>
    </r>
    <r>
      <rPr>
        <sz val="11"/>
        <color theme="1"/>
        <rFont val="Tahoma"/>
        <family val="2"/>
      </rPr>
      <t>(</t>
    </r>
    <r>
      <rPr>
        <sz val="11"/>
        <color theme="1"/>
        <rFont val="宋体"/>
        <family val="3"/>
        <charset val="134"/>
      </rPr>
      <t>又称</t>
    </r>
    <r>
      <rPr>
        <sz val="11"/>
        <color theme="1"/>
        <rFont val="Tahoma"/>
        <family val="2"/>
      </rPr>
      <t>T</t>
    </r>
    <r>
      <rPr>
        <sz val="11"/>
        <color theme="1"/>
        <rFont val="宋体"/>
        <family val="3"/>
        <charset val="134"/>
      </rPr>
      <t>型齿，</t>
    </r>
    <r>
      <rPr>
        <sz val="11"/>
        <color theme="1"/>
        <rFont val="Tahoma"/>
        <family val="2"/>
      </rPr>
      <t>T2.5~T20)</t>
    </r>
    <r>
      <rPr>
        <sz val="11"/>
        <color theme="1"/>
        <rFont val="宋体"/>
        <family val="3"/>
        <charset val="134"/>
      </rPr>
      <t>，如果</t>
    </r>
    <r>
      <rPr>
        <sz val="11"/>
        <color rgb="FFFF0000"/>
        <rFont val="宋体"/>
        <family val="3"/>
        <charset val="134"/>
      </rPr>
      <t xml:space="preserve">转速快，传输功率不大的，可以选择传
</t>
    </r>
    <r>
      <rPr>
        <sz val="11"/>
        <color rgb="FFFF0000"/>
        <rFont val="Tahoma"/>
        <family val="2"/>
      </rPr>
      <t xml:space="preserve">         </t>
    </r>
    <r>
      <rPr>
        <sz val="11"/>
        <color rgb="FFFF0000"/>
        <rFont val="宋体"/>
        <family val="3"/>
        <charset val="134"/>
      </rPr>
      <t>统梯型齿</t>
    </r>
    <r>
      <rPr>
        <sz val="11"/>
        <color theme="1"/>
        <rFont val="宋体"/>
        <family val="3"/>
        <charset val="134"/>
      </rPr>
      <t>，如果</t>
    </r>
    <r>
      <rPr>
        <sz val="11"/>
        <color rgb="FFFF0000"/>
        <rFont val="宋体"/>
        <family val="3"/>
        <charset val="134"/>
      </rPr>
      <t>传输功率大，转速不是很快，可以选择圆弧形齿</t>
    </r>
    <r>
      <rPr>
        <sz val="11"/>
        <color theme="1"/>
        <rFont val="宋体"/>
        <family val="3"/>
        <charset val="134"/>
      </rPr>
      <t xml:space="preserve">。
</t>
    </r>
    <r>
      <rPr>
        <sz val="11"/>
        <color theme="1"/>
        <rFont val="Tahoma"/>
        <family val="2"/>
      </rPr>
      <t xml:space="preserve">    2</t>
    </r>
    <r>
      <rPr>
        <sz val="11"/>
        <color theme="1"/>
        <rFont val="宋体"/>
        <family val="3"/>
        <charset val="134"/>
      </rPr>
      <t>，按材料分类，同步带可分为橡胶皮带</t>
    </r>
    <r>
      <rPr>
        <sz val="11"/>
        <color theme="1"/>
        <rFont val="Tahoma"/>
        <family val="2"/>
      </rPr>
      <t>(</t>
    </r>
    <r>
      <rPr>
        <sz val="11"/>
        <color theme="1"/>
        <rFont val="宋体"/>
        <family val="3"/>
        <charset val="134"/>
      </rPr>
      <t>最常用</t>
    </r>
    <r>
      <rPr>
        <sz val="11"/>
        <color theme="1"/>
        <rFont val="Tahoma"/>
        <family val="2"/>
      </rPr>
      <t>)</t>
    </r>
    <r>
      <rPr>
        <sz val="11"/>
        <color theme="1"/>
        <rFont val="宋体"/>
        <family val="3"/>
        <charset val="134"/>
      </rPr>
      <t>，聚氨酯皮带（</t>
    </r>
    <r>
      <rPr>
        <sz val="11"/>
        <color theme="1"/>
        <rFont val="Tahoma"/>
        <family val="2"/>
      </rPr>
      <t>T5</t>
    </r>
    <r>
      <rPr>
        <sz val="11"/>
        <color theme="1"/>
        <rFont val="宋体"/>
        <family val="3"/>
        <charset val="134"/>
      </rPr>
      <t>、</t>
    </r>
    <r>
      <rPr>
        <sz val="11"/>
        <color theme="1"/>
        <rFont val="Tahoma"/>
        <family val="2"/>
      </rPr>
      <t>T10</t>
    </r>
    <r>
      <rPr>
        <sz val="11"/>
        <color theme="1"/>
        <rFont val="宋体"/>
        <family val="3"/>
        <charset val="134"/>
      </rPr>
      <t>、</t>
    </r>
    <r>
      <rPr>
        <sz val="11"/>
        <color theme="1"/>
        <rFont val="Tahoma"/>
        <family val="2"/>
      </rPr>
      <t xml:space="preserve">T80
         </t>
    </r>
    <r>
      <rPr>
        <sz val="11"/>
        <color theme="1"/>
        <rFont val="宋体"/>
        <family val="3"/>
        <charset val="134"/>
      </rPr>
      <t xml:space="preserve">等）。聚氨酯皮带作为轻动力传动用具有高精度特点，用于打印机、缝纫机
</t>
    </r>
    <r>
      <rPr>
        <sz val="11"/>
        <color theme="1"/>
        <rFont val="Tahoma"/>
        <family val="2"/>
      </rPr>
      <t xml:space="preserve">         </t>
    </r>
    <r>
      <rPr>
        <sz val="11"/>
        <color theme="1"/>
        <rFont val="宋体"/>
        <family val="3"/>
        <charset val="134"/>
      </rPr>
      <t>纺织机、</t>
    </r>
    <r>
      <rPr>
        <sz val="11"/>
        <color theme="1"/>
        <rFont val="Tahoma"/>
        <family val="2"/>
      </rPr>
      <t>NC</t>
    </r>
    <r>
      <rPr>
        <sz val="11"/>
        <color theme="1"/>
        <rFont val="宋体"/>
        <family val="3"/>
        <charset val="134"/>
      </rPr>
      <t xml:space="preserve">车床等。
</t>
    </r>
    <r>
      <rPr>
        <sz val="11"/>
        <color theme="1"/>
        <rFont val="Tahoma"/>
        <family val="2"/>
      </rPr>
      <t xml:space="preserve">    3</t>
    </r>
    <r>
      <rPr>
        <sz val="11"/>
        <color theme="1"/>
        <rFont val="宋体"/>
        <family val="3"/>
        <charset val="134"/>
      </rPr>
      <t>，同步带轮材料的选择：以</t>
    </r>
    <r>
      <rPr>
        <sz val="11"/>
        <color theme="1"/>
        <rFont val="Tahoma"/>
        <family val="2"/>
      </rPr>
      <t>45#</t>
    </r>
    <r>
      <rPr>
        <sz val="11"/>
        <color theme="1"/>
        <rFont val="宋体"/>
        <family val="3"/>
        <charset val="134"/>
      </rPr>
      <t xml:space="preserve">钢、硬质铝合金为最常见，其它还可选用铸铁、
</t>
    </r>
    <r>
      <rPr>
        <sz val="11"/>
        <color theme="1"/>
        <rFont val="Tahoma"/>
        <family val="2"/>
      </rPr>
      <t xml:space="preserve">         </t>
    </r>
    <r>
      <rPr>
        <sz val="11"/>
        <color theme="1"/>
        <rFont val="宋体"/>
        <family val="3"/>
        <charset val="134"/>
      </rPr>
      <t xml:space="preserve">铜、尼龙等其它适合加工的材料
</t>
    </r>
    <r>
      <rPr>
        <sz val="11"/>
        <color theme="1"/>
        <rFont val="Tahoma"/>
        <family val="2"/>
      </rPr>
      <t xml:space="preserve">    4</t>
    </r>
    <r>
      <rPr>
        <sz val="11"/>
        <color theme="1"/>
        <rFont val="宋体"/>
        <family val="3"/>
        <charset val="134"/>
      </rPr>
      <t>，同步带尺寸参数如下图，</t>
    </r>
    <r>
      <rPr>
        <sz val="11"/>
        <color theme="1"/>
        <rFont val="Tahoma"/>
        <family val="2"/>
      </rPr>
      <t>P</t>
    </r>
    <r>
      <rPr>
        <sz val="11"/>
        <color theme="1"/>
        <rFont val="宋体"/>
        <family val="3"/>
        <charset val="134"/>
      </rPr>
      <t>为节距，</t>
    </r>
    <r>
      <rPr>
        <sz val="11"/>
        <color theme="1"/>
        <rFont val="Tahoma"/>
        <family val="2"/>
      </rPr>
      <t>Dp</t>
    </r>
    <r>
      <rPr>
        <sz val="11"/>
        <color theme="1"/>
        <rFont val="宋体"/>
        <family val="3"/>
        <charset val="134"/>
      </rPr>
      <t>为节圆，</t>
    </r>
    <r>
      <rPr>
        <sz val="11"/>
        <color theme="1"/>
        <rFont val="Tahoma"/>
        <family val="2"/>
      </rPr>
      <t>De</t>
    </r>
    <r>
      <rPr>
        <sz val="11"/>
        <color theme="1"/>
        <rFont val="宋体"/>
        <family val="3"/>
        <charset val="134"/>
      </rPr>
      <t>为带轮齿顶圆</t>
    </r>
    <phoneticPr fontId="4" type="noConversion"/>
  </si>
  <si>
    <t>滚子链选型向导</t>
    <phoneticPr fontId="4" type="noConversion"/>
  </si>
  <si>
    <r>
      <t>1</t>
    </r>
    <r>
      <rPr>
        <sz val="11"/>
        <color theme="1"/>
        <rFont val="宋体"/>
        <family val="3"/>
        <charset val="134"/>
      </rPr>
      <t>，选择链轮齿数</t>
    </r>
    <phoneticPr fontId="4" type="noConversion"/>
  </si>
  <si>
    <r>
      <rPr>
        <sz val="11"/>
        <color theme="1"/>
        <rFont val="宋体"/>
        <family val="3"/>
        <charset val="134"/>
      </rPr>
      <t>小链轮</t>
    </r>
    <r>
      <rPr>
        <sz val="11"/>
        <color theme="1"/>
        <rFont val="Tahoma"/>
        <family val="2"/>
      </rPr>
      <t>Z1</t>
    </r>
    <phoneticPr fontId="4" type="noConversion"/>
  </si>
  <si>
    <r>
      <rPr>
        <sz val="11"/>
        <color theme="1"/>
        <rFont val="宋体"/>
        <family val="3"/>
        <charset val="134"/>
      </rPr>
      <t>表</t>
    </r>
    <r>
      <rPr>
        <sz val="11"/>
        <color theme="1"/>
        <rFont val="Tahoma"/>
        <family val="2"/>
        <charset val="134"/>
      </rPr>
      <t xml:space="preserve">1  </t>
    </r>
    <r>
      <rPr>
        <sz val="11"/>
        <color theme="1"/>
        <rFont val="宋体"/>
        <family val="3"/>
        <charset val="134"/>
      </rPr>
      <t>链轮优先选用齿数系列</t>
    </r>
    <phoneticPr fontId="4" type="noConversion"/>
  </si>
  <si>
    <r>
      <t>Z</t>
    </r>
    <r>
      <rPr>
        <sz val="11"/>
        <color theme="1"/>
        <rFont val="宋体"/>
        <family val="3"/>
        <charset val="134"/>
      </rPr>
      <t>优先值</t>
    </r>
    <phoneticPr fontId="4" type="noConversion"/>
  </si>
  <si>
    <t>注：小链轮Z1应≥9，一般≥17，高速或冲击载荷时≥25；大链轮Z2应≤150，一般≤114。</t>
    <phoneticPr fontId="4" type="noConversion"/>
  </si>
  <si>
    <r>
      <rPr>
        <sz val="11"/>
        <color theme="1"/>
        <rFont val="宋体"/>
        <family val="3"/>
        <charset val="134"/>
      </rPr>
      <t>表</t>
    </r>
    <r>
      <rPr>
        <sz val="11"/>
        <color theme="1"/>
        <rFont val="Tahoma"/>
        <family val="2"/>
        <charset val="134"/>
      </rPr>
      <t xml:space="preserve">2  </t>
    </r>
    <r>
      <rPr>
        <sz val="11"/>
        <color theme="1"/>
        <rFont val="宋体"/>
        <family val="3"/>
        <charset val="134"/>
      </rPr>
      <t>工作情况系数</t>
    </r>
    <r>
      <rPr>
        <sz val="11"/>
        <color theme="1"/>
        <rFont val="Tahoma"/>
        <family val="2"/>
        <charset val="134"/>
      </rPr>
      <t>KA</t>
    </r>
    <r>
      <rPr>
        <sz val="11"/>
        <color theme="1"/>
        <rFont val="宋体"/>
        <family val="3"/>
        <charset val="134"/>
      </rPr>
      <t xml:space="preserve">
</t>
    </r>
    <phoneticPr fontId="4" type="noConversion"/>
  </si>
  <si>
    <r>
      <rPr>
        <sz val="11"/>
        <color theme="1"/>
        <rFont val="宋体"/>
        <family val="3"/>
        <charset val="134"/>
      </rPr>
      <t>圆整大连轮</t>
    </r>
    <r>
      <rPr>
        <sz val="11"/>
        <color theme="1"/>
        <rFont val="Tahoma"/>
        <family val="2"/>
      </rPr>
      <t>Z2</t>
    </r>
    <phoneticPr fontId="4" type="noConversion"/>
  </si>
  <si>
    <r>
      <rPr>
        <sz val="11"/>
        <color theme="1"/>
        <rFont val="宋体"/>
        <family val="3"/>
        <charset val="134"/>
      </rPr>
      <t>计算大连轮</t>
    </r>
    <r>
      <rPr>
        <sz val="11"/>
        <color theme="1"/>
        <rFont val="Tahoma"/>
        <family val="2"/>
      </rPr>
      <t>Z2'</t>
    </r>
    <phoneticPr fontId="4" type="noConversion"/>
  </si>
  <si>
    <r>
      <t>2</t>
    </r>
    <r>
      <rPr>
        <sz val="11"/>
        <color theme="1"/>
        <rFont val="宋体"/>
        <family val="3"/>
        <charset val="134"/>
      </rPr>
      <t xml:space="preserve">，确定计算功率
</t>
    </r>
    <r>
      <rPr>
        <sz val="11"/>
        <color theme="1"/>
        <rFont val="Tahoma"/>
        <family val="2"/>
      </rPr>
      <t xml:space="preserve">     Pca=K</t>
    </r>
    <r>
      <rPr>
        <vertAlign val="subscript"/>
        <sz val="14"/>
        <color theme="1"/>
        <rFont val="Tahoma"/>
        <family val="2"/>
      </rPr>
      <t>A</t>
    </r>
    <r>
      <rPr>
        <sz val="11"/>
        <color theme="1"/>
        <rFont val="Tahoma"/>
        <family val="2"/>
      </rPr>
      <t>.P</t>
    </r>
    <phoneticPr fontId="4" type="noConversion"/>
  </si>
  <si>
    <t>平稳运转</t>
    <phoneticPr fontId="4" type="noConversion"/>
  </si>
  <si>
    <t>轻微冲击</t>
    <phoneticPr fontId="4" type="noConversion"/>
  </si>
  <si>
    <t>从动机械特性</t>
    <phoneticPr fontId="4" type="noConversion"/>
  </si>
  <si>
    <t>主动机械特性</t>
    <phoneticPr fontId="4" type="noConversion"/>
  </si>
  <si>
    <t>中等冲击</t>
    <phoneticPr fontId="4" type="noConversion"/>
  </si>
  <si>
    <t>严重冲击</t>
    <phoneticPr fontId="4" type="noConversion"/>
  </si>
  <si>
    <r>
      <rPr>
        <sz val="11"/>
        <color theme="1"/>
        <rFont val="宋体"/>
        <family val="3"/>
        <charset val="134"/>
      </rPr>
      <t>小链轮齿数系数</t>
    </r>
    <r>
      <rPr>
        <sz val="11"/>
        <color theme="1"/>
        <rFont val="Tahoma"/>
        <family val="2"/>
      </rPr>
      <t>Kz</t>
    </r>
    <phoneticPr fontId="4" type="noConversion"/>
  </si>
  <si>
    <t>链排数</t>
    <phoneticPr fontId="4" type="noConversion"/>
  </si>
  <si>
    <t>单排链</t>
  </si>
  <si>
    <t>单排链</t>
    <phoneticPr fontId="4" type="noConversion"/>
  </si>
  <si>
    <t>双排链</t>
    <phoneticPr fontId="4" type="noConversion"/>
  </si>
  <si>
    <t>三排链</t>
    <phoneticPr fontId="4" type="noConversion"/>
  </si>
  <si>
    <r>
      <rPr>
        <sz val="11"/>
        <color theme="1"/>
        <rFont val="宋体"/>
        <family val="3"/>
        <charset val="134"/>
      </rPr>
      <t>多排链系数</t>
    </r>
    <r>
      <rPr>
        <sz val="11"/>
        <color theme="1"/>
        <rFont val="Tahoma"/>
        <family val="2"/>
      </rPr>
      <t>Kp</t>
    </r>
    <phoneticPr fontId="4" type="noConversion"/>
  </si>
  <si>
    <t>(KA*Kz/Kp)*P</t>
    <phoneticPr fontId="4" type="noConversion"/>
  </si>
  <si>
    <r>
      <rPr>
        <sz val="11"/>
        <color theme="1"/>
        <rFont val="宋体"/>
        <family val="3"/>
        <charset val="134"/>
      </rPr>
      <t>表3</t>
    </r>
    <r>
      <rPr>
        <sz val="11"/>
        <color theme="1"/>
        <rFont val="Tahoma"/>
        <family val="2"/>
        <charset val="134"/>
      </rPr>
      <t xml:space="preserve"> V</t>
    </r>
    <r>
      <rPr>
        <sz val="11"/>
        <color theme="1"/>
        <rFont val="宋体"/>
        <family val="3"/>
        <charset val="134"/>
      </rPr>
      <t>带选型</t>
    </r>
    <phoneticPr fontId="4" type="noConversion"/>
  </si>
  <si>
    <t>链条型号选择</t>
    <phoneticPr fontId="4" type="noConversion"/>
  </si>
  <si>
    <t>20A</t>
    <phoneticPr fontId="4" type="noConversion"/>
  </si>
  <si>
    <t>05B</t>
    <phoneticPr fontId="4" type="noConversion"/>
  </si>
  <si>
    <t>08A</t>
    <phoneticPr fontId="4" type="noConversion"/>
  </si>
  <si>
    <t>10A</t>
    <phoneticPr fontId="4" type="noConversion"/>
  </si>
  <si>
    <t>16A</t>
    <phoneticPr fontId="4" type="noConversion"/>
  </si>
  <si>
    <t>24A</t>
    <phoneticPr fontId="4" type="noConversion"/>
  </si>
  <si>
    <t>28A</t>
    <phoneticPr fontId="4" type="noConversion"/>
  </si>
  <si>
    <t>32A</t>
    <phoneticPr fontId="4" type="noConversion"/>
  </si>
  <si>
    <t>36A</t>
    <phoneticPr fontId="4" type="noConversion"/>
  </si>
  <si>
    <t>40A</t>
    <phoneticPr fontId="4" type="noConversion"/>
  </si>
  <si>
    <t>48A</t>
    <phoneticPr fontId="4" type="noConversion"/>
  </si>
  <si>
    <t>06B</t>
    <phoneticPr fontId="4" type="noConversion"/>
  </si>
  <si>
    <t>08B</t>
    <phoneticPr fontId="4" type="noConversion"/>
  </si>
  <si>
    <t>10B</t>
    <phoneticPr fontId="4" type="noConversion"/>
  </si>
  <si>
    <t>12A</t>
    <phoneticPr fontId="4" type="noConversion"/>
  </si>
  <si>
    <t>12B</t>
    <phoneticPr fontId="4" type="noConversion"/>
  </si>
  <si>
    <t>16B</t>
    <phoneticPr fontId="4" type="noConversion"/>
  </si>
  <si>
    <t>20B</t>
    <phoneticPr fontId="4" type="noConversion"/>
  </si>
  <si>
    <t>24B</t>
    <phoneticPr fontId="4" type="noConversion"/>
  </si>
  <si>
    <t>28B</t>
    <phoneticPr fontId="4" type="noConversion"/>
  </si>
  <si>
    <t>32B</t>
    <phoneticPr fontId="4" type="noConversion"/>
  </si>
  <si>
    <t>40B</t>
    <phoneticPr fontId="4" type="noConversion"/>
  </si>
  <si>
    <t>48B</t>
    <phoneticPr fontId="4" type="noConversion"/>
  </si>
  <si>
    <t>56B</t>
    <phoneticPr fontId="4" type="noConversion"/>
  </si>
  <si>
    <t>64B</t>
    <phoneticPr fontId="4" type="noConversion"/>
  </si>
  <si>
    <t>72B</t>
    <phoneticPr fontId="4" type="noConversion"/>
  </si>
  <si>
    <t>链号</t>
    <phoneticPr fontId="4" type="noConversion"/>
  </si>
  <si>
    <r>
      <rPr>
        <sz val="11"/>
        <color theme="1"/>
        <rFont val="宋体"/>
        <family val="3"/>
        <charset val="134"/>
      </rPr>
      <t>小轮转速</t>
    </r>
    <r>
      <rPr>
        <sz val="11"/>
        <color theme="1"/>
        <rFont val="Tahoma"/>
        <family val="2"/>
      </rPr>
      <t>n1(r/min)</t>
    </r>
    <phoneticPr fontId="4" type="noConversion"/>
  </si>
  <si>
    <r>
      <rPr>
        <sz val="11"/>
        <color theme="1"/>
        <rFont val="宋体"/>
        <family val="3"/>
        <charset val="134"/>
      </rPr>
      <t>计算功率</t>
    </r>
    <r>
      <rPr>
        <sz val="11"/>
        <color theme="1"/>
        <rFont val="Tahoma"/>
        <family val="2"/>
      </rPr>
      <t>Pca(kw)</t>
    </r>
    <phoneticPr fontId="4" type="noConversion"/>
  </si>
  <si>
    <t>节距p</t>
    <phoneticPr fontId="4" type="noConversion"/>
  </si>
  <si>
    <r>
      <t>4</t>
    </r>
    <r>
      <rPr>
        <sz val="11"/>
        <color theme="1"/>
        <rFont val="宋体"/>
        <family val="3"/>
        <charset val="134"/>
      </rPr>
      <t xml:space="preserve">，计算链节距和
</t>
    </r>
    <r>
      <rPr>
        <sz val="11"/>
        <color theme="1"/>
        <rFont val="Tahoma"/>
        <family val="2"/>
      </rPr>
      <t xml:space="preserve">     </t>
    </r>
    <r>
      <rPr>
        <sz val="11"/>
        <color theme="1"/>
        <rFont val="宋体"/>
        <family val="3"/>
        <charset val="134"/>
      </rPr>
      <t>中心距</t>
    </r>
    <phoneticPr fontId="4" type="noConversion"/>
  </si>
  <si>
    <r>
      <t>3</t>
    </r>
    <r>
      <rPr>
        <sz val="11"/>
        <color theme="1"/>
        <rFont val="宋体"/>
        <family val="3"/>
        <charset val="134"/>
      </rPr>
      <t xml:space="preserve">，选择链条型号
</t>
    </r>
    <r>
      <rPr>
        <sz val="11"/>
        <color theme="1"/>
        <rFont val="Tahoma"/>
        <family val="2"/>
      </rPr>
      <t xml:space="preserve">     </t>
    </r>
    <r>
      <rPr>
        <sz val="11"/>
        <color theme="1"/>
        <rFont val="宋体"/>
        <family val="3"/>
        <charset val="134"/>
      </rPr>
      <t>和节距</t>
    </r>
    <phoneticPr fontId="4" type="noConversion"/>
  </si>
  <si>
    <r>
      <rPr>
        <sz val="11"/>
        <color theme="1"/>
        <rFont val="宋体"/>
        <family val="3"/>
        <charset val="134"/>
      </rPr>
      <t>初选中心距</t>
    </r>
    <r>
      <rPr>
        <sz val="11"/>
        <color theme="1"/>
        <rFont val="Tahoma"/>
        <family val="2"/>
      </rPr>
      <t>a0=30~50p</t>
    </r>
    <phoneticPr fontId="4" type="noConversion"/>
  </si>
  <si>
    <r>
      <rPr>
        <sz val="11"/>
        <color theme="1"/>
        <rFont val="宋体"/>
        <family val="3"/>
        <charset val="134"/>
      </rPr>
      <t>计算链节数</t>
    </r>
    <r>
      <rPr>
        <sz val="11"/>
        <color theme="1"/>
        <rFont val="Tahoma"/>
        <family val="2"/>
      </rPr>
      <t>Lp0</t>
    </r>
    <phoneticPr fontId="4" type="noConversion"/>
  </si>
  <si>
    <r>
      <t>2a0/p+(Z1+Z2)/2+
[(Z2-Z1)/2PI]</t>
    </r>
    <r>
      <rPr>
        <vertAlign val="superscript"/>
        <sz val="12"/>
        <rFont val="Tahoma"/>
        <family val="2"/>
      </rPr>
      <t>2</t>
    </r>
    <r>
      <rPr>
        <sz val="12"/>
        <rFont val="Tahoma"/>
        <family val="2"/>
      </rPr>
      <t>*p/a0</t>
    </r>
    <phoneticPr fontId="4" type="noConversion"/>
  </si>
  <si>
    <r>
      <rPr>
        <sz val="11"/>
        <color theme="1"/>
        <rFont val="宋体"/>
        <family val="3"/>
        <charset val="134"/>
      </rPr>
      <t>圆整链节数</t>
    </r>
    <r>
      <rPr>
        <sz val="11"/>
        <color theme="1"/>
        <rFont val="Tahoma"/>
        <family val="2"/>
      </rPr>
      <t>Lp</t>
    </r>
    <phoneticPr fontId="4" type="noConversion"/>
  </si>
  <si>
    <t>中心距计算系数f1</t>
    <phoneticPr fontId="4" type="noConversion"/>
  </si>
  <si>
    <r>
      <rPr>
        <sz val="11"/>
        <color theme="1"/>
        <rFont val="宋体"/>
        <family val="3"/>
        <charset val="134"/>
      </rPr>
      <t>最大中心距</t>
    </r>
    <r>
      <rPr>
        <sz val="11"/>
        <color theme="1"/>
        <rFont val="Tahoma"/>
        <family val="2"/>
        <charset val="134"/>
      </rPr>
      <t>a</t>
    </r>
    <phoneticPr fontId="4" type="noConversion"/>
  </si>
  <si>
    <r>
      <rPr>
        <sz val="11"/>
        <color theme="1"/>
        <rFont val="宋体"/>
        <family val="3"/>
        <charset val="134"/>
      </rPr>
      <t>计算链速</t>
    </r>
    <r>
      <rPr>
        <sz val="11"/>
        <color theme="1"/>
        <rFont val="Tahoma"/>
        <family val="2"/>
      </rPr>
      <t>v(m/s)</t>
    </r>
    <phoneticPr fontId="4" type="noConversion"/>
  </si>
  <si>
    <r>
      <rPr>
        <sz val="11"/>
        <color theme="1"/>
        <rFont val="宋体"/>
        <family val="3"/>
        <charset val="134"/>
      </rPr>
      <t>一般要求不超过</t>
    </r>
    <r>
      <rPr>
        <sz val="11"/>
        <color theme="1"/>
        <rFont val="Tahoma"/>
        <family val="2"/>
      </rPr>
      <t>8</t>
    </r>
    <phoneticPr fontId="4" type="noConversion"/>
  </si>
  <si>
    <r>
      <rPr>
        <sz val="11"/>
        <color theme="1"/>
        <rFont val="宋体"/>
        <family val="3"/>
        <charset val="134"/>
      </rPr>
      <t>要求≤</t>
    </r>
    <r>
      <rPr>
        <sz val="11"/>
        <color theme="1"/>
        <rFont val="Tahoma"/>
        <family val="2"/>
      </rPr>
      <t>15m/s</t>
    </r>
    <phoneticPr fontId="4" type="noConversion"/>
  </si>
  <si>
    <t>润滑方式</t>
    <phoneticPr fontId="4" type="noConversion"/>
  </si>
  <si>
    <t>定期人工润滑</t>
    <phoneticPr fontId="4" type="noConversion"/>
  </si>
  <si>
    <t>滴油润滑</t>
  </si>
  <si>
    <t>滴油润滑</t>
    <phoneticPr fontId="4" type="noConversion"/>
  </si>
  <si>
    <t>油池或油盘</t>
    <phoneticPr fontId="4" type="noConversion"/>
  </si>
  <si>
    <t>压力供油</t>
    <phoneticPr fontId="4" type="noConversion"/>
  </si>
  <si>
    <r>
      <rPr>
        <sz val="11"/>
        <color theme="1"/>
        <rFont val="宋体"/>
        <family val="3"/>
        <charset val="134"/>
      </rPr>
      <t>压力供油</t>
    </r>
    <r>
      <rPr>
        <sz val="11"/>
        <color theme="1"/>
        <rFont val="Tahoma"/>
        <family val="2"/>
        <charset val="134"/>
      </rPr>
      <t>(</t>
    </r>
    <r>
      <rPr>
        <sz val="11"/>
        <color theme="1"/>
        <rFont val="宋体"/>
        <family val="3"/>
        <charset val="134"/>
      </rPr>
      <t>强制润滑</t>
    </r>
    <r>
      <rPr>
        <sz val="11"/>
        <color theme="1"/>
        <rFont val="Tahoma"/>
        <family val="2"/>
        <charset val="134"/>
      </rPr>
      <t>)</t>
    </r>
    <r>
      <rPr>
        <sz val="11"/>
        <color theme="1"/>
        <rFont val="宋体"/>
        <family val="3"/>
        <charset val="134"/>
      </rPr>
      <t>，适用于高速重载。喷油嘴应布置在链条与链轮的啮合处，且数量应比链条排数多一个以使其对准每列链板间隙处。</t>
    </r>
    <phoneticPr fontId="4" type="noConversion"/>
  </si>
  <si>
    <r>
      <rPr>
        <sz val="11"/>
        <color theme="1"/>
        <rFont val="宋体"/>
        <family val="3"/>
        <charset val="134"/>
      </rPr>
      <t>飞溅润滑</t>
    </r>
    <r>
      <rPr>
        <sz val="11"/>
        <color theme="1"/>
        <rFont val="Tahoma"/>
        <family val="2"/>
        <charset val="134"/>
      </rPr>
      <t>(</t>
    </r>
    <r>
      <rPr>
        <sz val="11"/>
        <color theme="1"/>
        <rFont val="宋体"/>
        <family val="3"/>
        <charset val="134"/>
      </rPr>
      <t>油环润滑</t>
    </r>
    <r>
      <rPr>
        <sz val="11"/>
        <color theme="1"/>
        <rFont val="Tahoma"/>
        <family val="2"/>
        <charset val="134"/>
      </rPr>
      <t>)</t>
    </r>
    <r>
      <rPr>
        <sz val="11"/>
        <color theme="1"/>
        <rFont val="宋体"/>
        <family val="3"/>
        <charset val="134"/>
      </rPr>
      <t>，链条运行在油面上方，一个能侵入油中</t>
    </r>
    <r>
      <rPr>
        <sz val="11"/>
        <color theme="1"/>
        <rFont val="Tahoma"/>
        <family val="2"/>
        <charset val="134"/>
      </rPr>
      <t>12.7~24.5mm</t>
    </r>
    <r>
      <rPr>
        <sz val="11"/>
        <color theme="1"/>
        <rFont val="宋体"/>
        <family val="3"/>
        <charset val="134"/>
      </rPr>
      <t>的甩油盘利用离心力将油飞溅起来，并利用箱体上的集油装置持续不断的导流到链条上。甩油盘的圆周速度应＞</t>
    </r>
    <r>
      <rPr>
        <sz val="11"/>
        <color theme="1"/>
        <rFont val="Tahoma"/>
        <family val="2"/>
        <charset val="134"/>
      </rPr>
      <t>3m/s</t>
    </r>
    <r>
      <rPr>
        <sz val="11"/>
        <color theme="1"/>
        <rFont val="宋体"/>
        <family val="3"/>
        <charset val="134"/>
      </rPr>
      <t>，一般不超过</t>
    </r>
    <r>
      <rPr>
        <sz val="11"/>
        <color theme="1"/>
        <rFont val="Tahoma"/>
        <family val="2"/>
        <charset val="134"/>
      </rPr>
      <t>12.5m/s</t>
    </r>
    <r>
      <rPr>
        <sz val="11"/>
        <color theme="1"/>
        <rFont val="宋体"/>
        <family val="3"/>
        <charset val="134"/>
      </rPr>
      <t>，最大不超过</t>
    </r>
    <r>
      <rPr>
        <sz val="11"/>
        <color theme="1"/>
        <rFont val="Tahoma"/>
        <family val="2"/>
        <charset val="134"/>
      </rPr>
      <t>40m/s</t>
    </r>
    <r>
      <rPr>
        <sz val="11"/>
        <color theme="1"/>
        <rFont val="宋体"/>
        <family val="3"/>
        <charset val="134"/>
      </rPr>
      <t>。当链条宽度＞</t>
    </r>
    <r>
      <rPr>
        <sz val="11"/>
        <color theme="1"/>
        <rFont val="Tahoma"/>
        <family val="2"/>
        <charset val="134"/>
      </rPr>
      <t>127mm</t>
    </r>
    <r>
      <rPr>
        <sz val="11"/>
        <color theme="1"/>
        <rFont val="宋体"/>
        <family val="3"/>
        <charset val="134"/>
      </rPr>
      <t>时，应在链轮两侧都装甩油盘。</t>
    </r>
    <phoneticPr fontId="4" type="noConversion"/>
  </si>
  <si>
    <r>
      <rPr>
        <sz val="11"/>
        <color theme="1"/>
        <rFont val="宋体"/>
        <family val="3"/>
        <charset val="134"/>
      </rPr>
      <t>油池润滑</t>
    </r>
    <r>
      <rPr>
        <sz val="11"/>
        <color theme="1"/>
        <rFont val="Tahoma"/>
        <family val="2"/>
        <charset val="134"/>
      </rPr>
      <t>(</t>
    </r>
    <r>
      <rPr>
        <sz val="11"/>
        <color theme="1"/>
        <rFont val="宋体"/>
        <family val="3"/>
        <charset val="134"/>
      </rPr>
      <t>油浴润滑</t>
    </r>
    <r>
      <rPr>
        <sz val="11"/>
        <color theme="1"/>
        <rFont val="Tahoma"/>
        <family val="2"/>
        <charset val="134"/>
      </rPr>
      <t>)</t>
    </r>
    <r>
      <rPr>
        <sz val="11"/>
        <color theme="1"/>
        <rFont val="宋体"/>
        <family val="3"/>
        <charset val="134"/>
      </rPr>
      <t>，使链板边至滚子或套筒能侵入，应注意侵油过浅润滑不可靠，过深则搅油阻力大</t>
    </r>
    <phoneticPr fontId="4" type="noConversion"/>
  </si>
  <si>
    <t>滴油润滑，用油芯加油器、针阀式注油杯或滴油杯加油，适用于低轴压比的传动，应注意尽可能避免产生润滑剂变色现象</t>
    <phoneticPr fontId="4" type="noConversion"/>
  </si>
  <si>
    <t>人工润滑，用刷子或油壶定期在链条松边内外链板间隙处加油，这种方法可靠性不高，仅适用于非经常工作的链条或低速二级传动中。至少每天充分润滑一次，应注意尽可能避免产生润滑剂变色现象</t>
    <phoneticPr fontId="4" type="noConversion"/>
  </si>
  <si>
    <t>17    19    21    23    25    38    57    76    95    114</t>
    <phoneticPr fontId="4" type="noConversion"/>
  </si>
  <si>
    <r>
      <t>6</t>
    </r>
    <r>
      <rPr>
        <sz val="11"/>
        <color theme="1"/>
        <rFont val="宋体"/>
        <family val="3"/>
        <charset val="134"/>
      </rPr>
      <t>，计算压轴力</t>
    </r>
    <phoneticPr fontId="4" type="noConversion"/>
  </si>
  <si>
    <t>1000*P/v</t>
    <phoneticPr fontId="4" type="noConversion"/>
  </si>
  <si>
    <r>
      <rPr>
        <sz val="11"/>
        <color theme="1"/>
        <rFont val="宋体"/>
        <family val="3"/>
        <charset val="134"/>
      </rPr>
      <t>有效圆周力</t>
    </r>
    <r>
      <rPr>
        <sz val="11"/>
        <color theme="1"/>
        <rFont val="Tahoma"/>
        <family val="2"/>
      </rPr>
      <t>Fe(N)</t>
    </r>
    <phoneticPr fontId="4" type="noConversion"/>
  </si>
  <si>
    <r>
      <rPr>
        <sz val="11"/>
        <color theme="1"/>
        <rFont val="宋体"/>
        <family val="3"/>
        <charset val="134"/>
      </rPr>
      <t>压轴力系数</t>
    </r>
    <r>
      <rPr>
        <sz val="11"/>
        <color theme="1"/>
        <rFont val="Tahoma"/>
        <family val="2"/>
      </rPr>
      <t>Kfp</t>
    </r>
    <phoneticPr fontId="4" type="noConversion"/>
  </si>
  <si>
    <r>
      <rPr>
        <sz val="11"/>
        <color theme="1"/>
        <rFont val="宋体"/>
        <family val="3"/>
        <charset val="134"/>
      </rPr>
      <t>水平传</t>
    </r>
    <r>
      <rPr>
        <sz val="11"/>
        <color theme="1"/>
        <rFont val="Tahoma"/>
        <family val="2"/>
      </rPr>
      <t>1.15</t>
    </r>
    <r>
      <rPr>
        <sz val="11"/>
        <color theme="1"/>
        <rFont val="宋体"/>
        <family val="3"/>
        <charset val="134"/>
      </rPr>
      <t>，竖直</t>
    </r>
    <r>
      <rPr>
        <sz val="11"/>
        <color theme="1"/>
        <rFont val="Tahoma"/>
        <family val="2"/>
      </rPr>
      <t>1.05</t>
    </r>
    <phoneticPr fontId="4" type="noConversion"/>
  </si>
  <si>
    <t>Kfp*Fe</t>
    <phoneticPr fontId="4" type="noConversion"/>
  </si>
  <si>
    <r>
      <rPr>
        <sz val="11"/>
        <rFont val="宋体"/>
        <family val="3"/>
        <charset val="134"/>
      </rPr>
      <t>压轴力</t>
    </r>
    <r>
      <rPr>
        <sz val="11"/>
        <rFont val="Tahoma"/>
        <family val="2"/>
      </rPr>
      <t>Fp(N)</t>
    </r>
    <phoneticPr fontId="4" type="noConversion"/>
  </si>
  <si>
    <r>
      <t>5</t>
    </r>
    <r>
      <rPr>
        <sz val="11"/>
        <color theme="1"/>
        <rFont val="宋体"/>
        <family val="3"/>
        <charset val="134"/>
      </rPr>
      <t xml:space="preserve">，计算链速，确
</t>
    </r>
    <r>
      <rPr>
        <sz val="11"/>
        <color theme="1"/>
        <rFont val="Tahoma"/>
        <family val="2"/>
      </rPr>
      <t xml:space="preserve">     </t>
    </r>
    <r>
      <rPr>
        <sz val="11"/>
        <color theme="1"/>
        <rFont val="宋体"/>
        <family val="3"/>
        <charset val="134"/>
      </rPr>
      <t>定润滑方式</t>
    </r>
    <phoneticPr fontId="4" type="noConversion"/>
  </si>
  <si>
    <t>滚子链型号</t>
    <phoneticPr fontId="4" type="noConversion"/>
  </si>
  <si>
    <t>表2</t>
    <phoneticPr fontId="4" type="noConversion"/>
  </si>
  <si>
    <r>
      <rPr>
        <sz val="11"/>
        <color theme="8" tint="-0.249977111117893"/>
        <rFont val="宋体"/>
        <family val="3"/>
        <charset val="134"/>
      </rPr>
      <t>表</t>
    </r>
    <r>
      <rPr>
        <sz val="11"/>
        <color theme="8" tint="-0.249977111117893"/>
        <rFont val="Tahoma"/>
        <family val="2"/>
      </rPr>
      <t>1</t>
    </r>
    <r>
      <rPr>
        <sz val="11"/>
        <color theme="1"/>
        <rFont val="宋体"/>
        <family val="2"/>
        <charset val="134"/>
        <scheme val="minor"/>
      </rPr>
      <t/>
    </r>
  </si>
  <si>
    <r>
      <rPr>
        <sz val="11"/>
        <color theme="8" tint="-0.249977111117893"/>
        <rFont val="宋体"/>
        <family val="3"/>
        <charset val="134"/>
      </rPr>
      <t>表</t>
    </r>
    <r>
      <rPr>
        <sz val="11"/>
        <color theme="8" tint="-0.249977111117893"/>
        <rFont val="Tahoma"/>
        <family val="2"/>
      </rPr>
      <t>3</t>
    </r>
    <phoneticPr fontId="4" type="noConversion"/>
  </si>
  <si>
    <r>
      <rPr>
        <sz val="11"/>
        <color theme="1"/>
        <rFont val="宋体"/>
        <family val="3"/>
        <charset val="134"/>
      </rPr>
      <t>型号</t>
    </r>
    <r>
      <rPr>
        <sz val="11"/>
        <color theme="1"/>
        <rFont val="Tahoma"/>
        <family val="2"/>
      </rPr>
      <t>-</t>
    </r>
    <r>
      <rPr>
        <sz val="11"/>
        <color theme="1"/>
        <rFont val="宋体"/>
        <family val="3"/>
        <charset val="134"/>
      </rPr>
      <t>排数</t>
    </r>
    <r>
      <rPr>
        <sz val="11"/>
        <color theme="1"/>
        <rFont val="Tahoma"/>
        <family val="2"/>
      </rPr>
      <t>-</t>
    </r>
    <r>
      <rPr>
        <sz val="11"/>
        <color theme="1"/>
        <rFont val="宋体"/>
        <family val="3"/>
        <charset val="134"/>
      </rPr>
      <t>节数</t>
    </r>
    <r>
      <rPr>
        <sz val="11"/>
        <color theme="1"/>
        <rFont val="Tahoma"/>
        <family val="2"/>
      </rPr>
      <t xml:space="preserve"> </t>
    </r>
    <r>
      <rPr>
        <sz val="11"/>
        <color theme="1"/>
        <rFont val="宋体"/>
        <family val="3"/>
        <charset val="134"/>
      </rPr>
      <t>标准</t>
    </r>
    <phoneticPr fontId="4" type="noConversion"/>
  </si>
  <si>
    <t>附表1 链轮材料热处理</t>
    <phoneticPr fontId="4" type="noConversion"/>
  </si>
  <si>
    <r>
      <rPr>
        <sz val="11"/>
        <color theme="1"/>
        <rFont val="宋体"/>
        <family val="3"/>
        <charset val="134"/>
      </rPr>
      <t>附表</t>
    </r>
    <r>
      <rPr>
        <sz val="11"/>
        <color theme="1"/>
        <rFont val="Tahoma"/>
        <family val="2"/>
        <charset val="134"/>
      </rPr>
      <t xml:space="preserve">2  </t>
    </r>
    <r>
      <rPr>
        <sz val="11"/>
        <color theme="1"/>
        <rFont val="宋体"/>
        <family val="3"/>
        <charset val="134"/>
      </rPr>
      <t>链轮尺寸参数</t>
    </r>
    <phoneticPr fontId="4" type="noConversion"/>
  </si>
  <si>
    <r>
      <rPr>
        <sz val="11"/>
        <color theme="1"/>
        <rFont val="宋体"/>
        <family val="3"/>
        <charset val="134"/>
      </rPr>
      <t>附表</t>
    </r>
    <r>
      <rPr>
        <sz val="11"/>
        <color theme="1"/>
        <rFont val="Tahoma"/>
        <family val="2"/>
        <charset val="134"/>
      </rPr>
      <t xml:space="preserve">3  </t>
    </r>
    <r>
      <rPr>
        <sz val="11"/>
        <color theme="1"/>
        <rFont val="宋体"/>
        <family val="3"/>
        <charset val="134"/>
      </rPr>
      <t>链传动的布置</t>
    </r>
    <phoneticPr fontId="4" type="noConversion"/>
  </si>
  <si>
    <r>
      <rPr>
        <sz val="11"/>
        <color theme="1"/>
        <rFont val="宋体"/>
        <family val="3"/>
        <charset val="134"/>
      </rPr>
      <t>附表4</t>
    </r>
    <r>
      <rPr>
        <sz val="11"/>
        <color theme="1"/>
        <rFont val="Tahoma"/>
        <family val="2"/>
        <charset val="134"/>
      </rPr>
      <t xml:space="preserve">  </t>
    </r>
    <r>
      <rPr>
        <sz val="11"/>
        <color theme="1"/>
        <rFont val="宋体"/>
        <family val="3"/>
        <charset val="134"/>
      </rPr>
      <t>链传动的张紧方式</t>
    </r>
    <phoneticPr fontId="4" type="noConversion"/>
  </si>
  <si>
    <r>
      <rPr>
        <sz val="11"/>
        <color theme="1"/>
        <rFont val="宋体"/>
        <family val="3"/>
        <charset val="134"/>
      </rPr>
      <t>表</t>
    </r>
    <r>
      <rPr>
        <sz val="11"/>
        <color theme="1"/>
        <rFont val="Tahoma"/>
        <family val="2"/>
        <charset val="134"/>
      </rPr>
      <t xml:space="preserve">4 </t>
    </r>
    <r>
      <rPr>
        <sz val="11"/>
        <color theme="1"/>
        <rFont val="宋体"/>
        <family val="3"/>
        <charset val="134"/>
      </rPr>
      <t>润滑方式选择</t>
    </r>
    <phoneticPr fontId="4" type="noConversion"/>
  </si>
  <si>
    <t>表4</t>
    <phoneticPr fontId="4" type="noConversion"/>
  </si>
  <si>
    <t>PI*[(Lp-Z1)/(Z2-Z1)-1]</t>
    <phoneticPr fontId="4" type="noConversion"/>
  </si>
  <si>
    <r>
      <rPr>
        <sz val="11"/>
        <color theme="1" tint="0.14999847407452621"/>
        <rFont val="宋体"/>
        <family val="3"/>
        <charset val="134"/>
      </rPr>
      <t>反解</t>
    </r>
    <r>
      <rPr>
        <sz val="11"/>
        <color theme="1" tint="0.14999847407452621"/>
        <rFont val="Tahoma"/>
        <family val="2"/>
      </rPr>
      <t>θ</t>
    </r>
    <r>
      <rPr>
        <sz val="11"/>
        <color theme="1" tint="0.14999847407452621"/>
        <rFont val="宋体"/>
        <family val="3"/>
        <charset val="134"/>
      </rPr>
      <t>值(°)</t>
    </r>
    <phoneticPr fontId="4" type="noConversion"/>
  </si>
  <si>
    <t xml:space="preserve">文档信息
编写：图惜
参考：《机械设计——第八版》——蒲良贵、纪名刚
      《英科宇机械工程师设计手册》——电子版
      《反渐开线函数的综合解算方法》——沈守范
                                           2018.8.8   
</t>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</si>
  <si>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链传动特点：无弹性滑动和整体打滑现象，平均传动比准确，瞬时传动比不准确，传动效率高，轴向压力小，相对齿轮传动制造和安装精度要求低成本低，能在高温潮湿粉尘都恶劣环境工作，有噪音不宜用在载荷变化很大、高速、极速换向等场合。</t>
    </r>
    <r>
      <rPr>
        <sz val="11"/>
        <color rgb="FFFF0000"/>
        <rFont val="宋体"/>
        <family val="3"/>
        <charset val="134"/>
      </rPr>
      <t>滚子链用于低速级传动，传动功率≤</t>
    </r>
    <r>
      <rPr>
        <sz val="11"/>
        <color rgb="FFFF0000"/>
        <rFont val="Tahoma"/>
        <family val="2"/>
      </rPr>
      <t>100kw</t>
    </r>
    <r>
      <rPr>
        <sz val="11"/>
        <color rgb="FFFF0000"/>
        <rFont val="宋体"/>
        <family val="3"/>
        <charset val="134"/>
      </rPr>
      <t>，链速≤</t>
    </r>
    <r>
      <rPr>
        <sz val="11"/>
        <color rgb="FFFF0000"/>
        <rFont val="Tahoma"/>
        <family val="2"/>
      </rPr>
      <t>15m/s</t>
    </r>
    <r>
      <rPr>
        <sz val="11"/>
        <color rgb="FFFF0000"/>
        <rFont val="宋体"/>
        <family val="3"/>
        <charset val="134"/>
      </rPr>
      <t>，传动比≤</t>
    </r>
    <r>
      <rPr>
        <sz val="11"/>
        <color rgb="FFFF0000"/>
        <rFont val="Tahoma"/>
        <family val="2"/>
      </rPr>
      <t>8</t>
    </r>
    <r>
      <rPr>
        <sz val="11"/>
        <color theme="1"/>
        <rFont val="宋体"/>
        <family val="3"/>
        <charset val="134"/>
      </rPr>
      <t xml:space="preserve">
</t>
    </r>
    <r>
      <rPr>
        <sz val="11"/>
        <color theme="1"/>
        <rFont val="Tahoma"/>
        <family val="2"/>
      </rPr>
      <t xml:space="preserve">    2</t>
    </r>
    <r>
      <rPr>
        <sz val="11"/>
        <color theme="1"/>
        <rFont val="宋体"/>
        <family val="3"/>
        <charset val="134"/>
      </rPr>
      <t>，链轮的材料见附表</t>
    </r>
    <r>
      <rPr>
        <sz val="11"/>
        <color theme="1"/>
        <rFont val="Tahoma"/>
        <family val="2"/>
      </rPr>
      <t>1</t>
    </r>
    <r>
      <rPr>
        <sz val="11"/>
        <color theme="1"/>
        <rFont val="宋体"/>
        <family val="3"/>
        <charset val="134"/>
      </rPr>
      <t>，尺寸参数见附表</t>
    </r>
    <r>
      <rPr>
        <sz val="11"/>
        <color theme="1"/>
        <rFont val="Tahoma"/>
        <family val="2"/>
      </rPr>
      <t>2</t>
    </r>
    <r>
      <rPr>
        <sz val="11"/>
        <color theme="1"/>
        <rFont val="宋体"/>
        <family val="3"/>
        <charset val="134"/>
      </rPr>
      <t xml:space="preserve">
</t>
    </r>
    <r>
      <rPr>
        <sz val="11"/>
        <color theme="1"/>
        <rFont val="Tahoma"/>
        <family val="2"/>
      </rPr>
      <t xml:space="preserve">    3</t>
    </r>
    <r>
      <rPr>
        <sz val="11"/>
        <color theme="1"/>
        <rFont val="宋体"/>
        <family val="3"/>
        <charset val="134"/>
      </rPr>
      <t>，链传动的布置见附表</t>
    </r>
    <r>
      <rPr>
        <sz val="11"/>
        <color theme="1"/>
        <rFont val="Tahoma"/>
        <family val="2"/>
      </rPr>
      <t>3</t>
    </r>
    <r>
      <rPr>
        <sz val="11"/>
        <color theme="1"/>
        <rFont val="宋体"/>
        <family val="3"/>
        <charset val="134"/>
      </rPr>
      <t>，张紧方式见附表</t>
    </r>
    <r>
      <rPr>
        <sz val="11"/>
        <color theme="1"/>
        <rFont val="Tahoma"/>
        <family val="2"/>
      </rPr>
      <t>4</t>
    </r>
    <r>
      <rPr>
        <sz val="11"/>
        <color theme="1"/>
        <rFont val="宋体"/>
        <family val="3"/>
        <charset val="134"/>
      </rPr>
      <t xml:space="preserve">
</t>
    </r>
    <r>
      <rPr>
        <sz val="11"/>
        <color theme="1"/>
        <rFont val="Tahoma"/>
        <family val="2"/>
      </rPr>
      <t xml:space="preserve">    4</t>
    </r>
    <r>
      <rPr>
        <sz val="11"/>
        <color theme="1"/>
        <rFont val="宋体"/>
        <family val="3"/>
        <charset val="134"/>
      </rPr>
      <t>，中心距计算系数</t>
    </r>
    <r>
      <rPr>
        <sz val="11"/>
        <color theme="1"/>
        <rFont val="Tahoma"/>
        <family val="2"/>
      </rPr>
      <t>f</t>
    </r>
    <r>
      <rPr>
        <sz val="11"/>
        <color theme="1"/>
        <rFont val="宋体"/>
        <family val="3"/>
        <charset val="134"/>
      </rPr>
      <t>计算公式
反解</t>
    </r>
    <r>
      <rPr>
        <sz val="11"/>
        <color theme="1"/>
        <rFont val="Tahoma"/>
        <family val="2"/>
      </rPr>
      <t>invθ</t>
    </r>
    <r>
      <rPr>
        <sz val="11"/>
        <color theme="1"/>
        <rFont val="宋体"/>
        <family val="3"/>
        <charset val="134"/>
      </rPr>
      <t>渐开线函数详见参考文献</t>
    </r>
    <phoneticPr fontId="4" type="noConversion"/>
  </si>
  <si>
    <r>
      <rPr>
        <sz val="11"/>
        <color theme="1"/>
        <rFont val="宋体"/>
        <family val="3"/>
        <charset val="134"/>
      </rPr>
      <t>链条速度</t>
    </r>
    <r>
      <rPr>
        <sz val="11"/>
        <color theme="1"/>
        <rFont val="Tahoma"/>
        <family val="2"/>
      </rPr>
      <t>V(m/s)</t>
    </r>
    <phoneticPr fontId="4" type="noConversion"/>
  </si>
  <si>
    <r>
      <rPr>
        <sz val="11"/>
        <color theme="8" tint="-0.249977111117893"/>
        <rFont val="宋体"/>
        <family val="3"/>
        <charset val="134"/>
      </rPr>
      <t>表</t>
    </r>
    <r>
      <rPr>
        <sz val="11"/>
        <color theme="8" tint="-0.249977111117893"/>
        <rFont val="Tahoma"/>
        <family val="2"/>
      </rPr>
      <t>1</t>
    </r>
    <phoneticPr fontId="4" type="noConversion"/>
  </si>
  <si>
    <r>
      <rPr>
        <b/>
        <sz val="16"/>
        <color theme="1"/>
        <rFont val="宋体"/>
        <family val="3"/>
        <charset val="134"/>
      </rPr>
      <t>倍速滚子链选型向导</t>
    </r>
    <phoneticPr fontId="4" type="noConversion"/>
  </si>
  <si>
    <r>
      <rPr>
        <sz val="11"/>
        <color theme="1"/>
        <rFont val="宋体"/>
        <family val="3"/>
        <charset val="134"/>
      </rPr>
      <t>步骤</t>
    </r>
    <phoneticPr fontId="4" type="noConversion"/>
  </si>
  <si>
    <r>
      <rPr>
        <sz val="11"/>
        <color theme="1"/>
        <rFont val="宋体"/>
        <family val="3"/>
        <charset val="134"/>
      </rPr>
      <t>参数</t>
    </r>
    <phoneticPr fontId="4" type="noConversion"/>
  </si>
  <si>
    <r>
      <rPr>
        <sz val="11"/>
        <color theme="1"/>
        <rFont val="宋体"/>
        <family val="3"/>
        <charset val="134"/>
      </rPr>
      <t>取值</t>
    </r>
    <phoneticPr fontId="4" type="noConversion"/>
  </si>
  <si>
    <r>
      <rPr>
        <sz val="11"/>
        <color theme="1"/>
        <rFont val="宋体"/>
        <family val="3"/>
        <charset val="134"/>
      </rPr>
      <t>备注</t>
    </r>
    <phoneticPr fontId="4" type="noConversion"/>
  </si>
  <si>
    <r>
      <rPr>
        <sz val="11"/>
        <color theme="1"/>
        <rFont val="宋体"/>
        <family val="3"/>
        <charset val="134"/>
      </rPr>
      <t>已知条件</t>
    </r>
    <phoneticPr fontId="4" type="noConversion"/>
  </si>
  <si>
    <r>
      <rPr>
        <sz val="11"/>
        <color theme="1"/>
        <rFont val="宋体"/>
        <family val="3"/>
        <charset val="134"/>
      </rPr>
      <t>输送长度</t>
    </r>
    <r>
      <rPr>
        <sz val="11"/>
        <color theme="1"/>
        <rFont val="Tahoma"/>
        <family val="2"/>
      </rPr>
      <t>L=L1+L2(m)</t>
    </r>
    <phoneticPr fontId="4" type="noConversion"/>
  </si>
  <si>
    <r>
      <rPr>
        <sz val="11"/>
        <color theme="1"/>
        <rFont val="宋体"/>
        <family val="3"/>
        <charset val="134"/>
      </rPr>
      <t>物料堆积长度</t>
    </r>
    <r>
      <rPr>
        <sz val="11"/>
        <color theme="1"/>
        <rFont val="Tahoma"/>
        <family val="2"/>
      </rPr>
      <t>L2(m)</t>
    </r>
    <phoneticPr fontId="4" type="noConversion"/>
  </si>
  <si>
    <r>
      <rPr>
        <sz val="11"/>
        <color theme="1"/>
        <rFont val="宋体"/>
        <family val="3"/>
        <charset val="134"/>
      </rPr>
      <t>物料总重量</t>
    </r>
    <r>
      <rPr>
        <sz val="11"/>
        <color theme="1"/>
        <rFont val="Tahoma"/>
        <family val="2"/>
      </rPr>
      <t>W(kg)</t>
    </r>
    <phoneticPr fontId="4" type="noConversion"/>
  </si>
  <si>
    <r>
      <rPr>
        <sz val="11"/>
        <color theme="1"/>
        <rFont val="宋体"/>
        <family val="3"/>
        <charset val="134"/>
      </rPr>
      <t>堆积物料单重</t>
    </r>
    <r>
      <rPr>
        <sz val="11"/>
        <color theme="1"/>
        <rFont val="Tahoma"/>
        <family val="2"/>
      </rPr>
      <t>M2(kg/m)</t>
    </r>
    <phoneticPr fontId="4" type="noConversion"/>
  </si>
  <si>
    <r>
      <rPr>
        <sz val="11"/>
        <color theme="1"/>
        <rFont val="宋体"/>
        <family val="3"/>
        <charset val="134"/>
      </rPr>
      <t>输送物料单重</t>
    </r>
    <r>
      <rPr>
        <sz val="11"/>
        <color theme="1"/>
        <rFont val="Tahoma"/>
        <family val="2"/>
      </rPr>
      <t>M1(kg/m)</t>
    </r>
    <phoneticPr fontId="4" type="noConversion"/>
  </si>
  <si>
    <r>
      <t>1</t>
    </r>
    <r>
      <rPr>
        <sz val="11"/>
        <color theme="1"/>
        <rFont val="宋体"/>
        <family val="3"/>
        <charset val="134"/>
      </rPr>
      <t>，计算链条最大拉力</t>
    </r>
    <phoneticPr fontId="4" type="noConversion"/>
  </si>
  <si>
    <r>
      <rPr>
        <sz val="11"/>
        <color theme="1"/>
        <rFont val="宋体"/>
        <family val="3"/>
        <charset val="134"/>
      </rPr>
      <t>链条倍率</t>
    </r>
    <phoneticPr fontId="4" type="noConversion"/>
  </si>
  <si>
    <r>
      <rPr>
        <sz val="11"/>
        <color theme="1"/>
        <rFont val="宋体"/>
        <family val="3"/>
        <charset val="134"/>
      </rPr>
      <t>速度系数</t>
    </r>
    <r>
      <rPr>
        <sz val="11"/>
        <color theme="1"/>
        <rFont val="Tahoma"/>
        <family val="2"/>
      </rPr>
      <t>Kv</t>
    </r>
    <phoneticPr fontId="4" type="noConversion"/>
  </si>
  <si>
    <r>
      <rPr>
        <sz val="11"/>
        <color theme="1"/>
        <rFont val="宋体"/>
        <family val="3"/>
        <charset val="134"/>
      </rPr>
      <t>滚子链型号</t>
    </r>
    <phoneticPr fontId="4" type="noConversion"/>
  </si>
  <si>
    <t>链速(m/s)</t>
    <phoneticPr fontId="4" type="noConversion"/>
  </si>
  <si>
    <t>0.5~0.83</t>
    <phoneticPr fontId="4" type="noConversion"/>
  </si>
  <si>
    <t>1.5~1.8</t>
    <phoneticPr fontId="4" type="noConversion"/>
  </si>
  <si>
    <t>0.8~1.2</t>
    <phoneticPr fontId="4" type="noConversion"/>
  </si>
  <si>
    <t>1.2~1.5</t>
    <phoneticPr fontId="4" type="noConversion"/>
  </si>
  <si>
    <t>1.2~2</t>
    <phoneticPr fontId="4" type="noConversion"/>
  </si>
  <si>
    <r>
      <rPr>
        <sz val="11"/>
        <color theme="1"/>
        <rFont val="宋体"/>
        <family val="3"/>
        <charset val="134"/>
      </rPr>
      <t>注：倍速链条建议速度</t>
    </r>
    <r>
      <rPr>
        <sz val="11"/>
        <color theme="1"/>
        <rFont val="Tahoma"/>
        <family val="2"/>
      </rPr>
      <t>0.08~0.25m/s</t>
    </r>
    <r>
      <rPr>
        <sz val="11"/>
        <color theme="1"/>
        <rFont val="宋体"/>
        <family val="3"/>
        <charset val="134"/>
      </rPr>
      <t>；带塑料</t>
    </r>
    <r>
      <rPr>
        <sz val="11"/>
        <color theme="1"/>
        <rFont val="Tahoma"/>
        <family val="2"/>
      </rPr>
      <t>R</t>
    </r>
    <r>
      <rPr>
        <sz val="11"/>
        <color theme="1"/>
        <rFont val="宋体"/>
        <family val="3"/>
        <charset val="134"/>
      </rPr>
      <t>滚子链条≤</t>
    </r>
    <r>
      <rPr>
        <sz val="11"/>
        <color theme="1"/>
        <rFont val="Tahoma"/>
        <family val="2"/>
      </rPr>
      <t>1.2m/s</t>
    </r>
    <r>
      <rPr>
        <sz val="11"/>
        <color theme="1"/>
        <rFont val="宋体"/>
        <family val="3"/>
        <charset val="134"/>
      </rPr>
      <t>；塑料链条≤</t>
    </r>
    <r>
      <rPr>
        <sz val="11"/>
        <color theme="1"/>
        <rFont val="Tahoma"/>
        <family val="2"/>
      </rPr>
      <t>1.2m/s</t>
    </r>
    <r>
      <rPr>
        <sz val="11"/>
        <color theme="1"/>
        <rFont val="宋体"/>
        <family val="3"/>
        <charset val="134"/>
      </rPr>
      <t>。</t>
    </r>
    <phoneticPr fontId="4" type="noConversion"/>
  </si>
  <si>
    <r>
      <rPr>
        <sz val="11"/>
        <color theme="1"/>
        <rFont val="宋体"/>
        <family val="3"/>
        <charset val="134"/>
      </rPr>
      <t>负载传递速度</t>
    </r>
    <r>
      <rPr>
        <sz val="11"/>
        <color theme="1"/>
        <rFont val="Tahoma"/>
        <family val="2"/>
      </rPr>
      <t>V(mm/s)</t>
    </r>
    <phoneticPr fontId="4" type="noConversion"/>
  </si>
  <si>
    <r>
      <rPr>
        <sz val="11"/>
        <color theme="1"/>
        <rFont val="宋体"/>
        <family val="3"/>
        <charset val="134"/>
      </rPr>
      <t>＜</t>
    </r>
    <r>
      <rPr>
        <sz val="11"/>
        <color theme="1"/>
        <rFont val="Tahoma"/>
        <family val="2"/>
      </rPr>
      <t>0.25</t>
    </r>
    <phoneticPr fontId="4" type="noConversion"/>
  </si>
  <si>
    <r>
      <rPr>
        <sz val="11"/>
        <color theme="1"/>
        <rFont val="宋体"/>
        <family val="3"/>
        <charset val="134"/>
      </rPr>
      <t>堆积时物料与链条摩擦系数</t>
    </r>
    <r>
      <rPr>
        <sz val="11"/>
        <color theme="1"/>
        <rFont val="Tahoma"/>
        <family val="2"/>
      </rPr>
      <t>f2</t>
    </r>
    <phoneticPr fontId="4" type="noConversion"/>
  </si>
  <si>
    <r>
      <rPr>
        <sz val="11"/>
        <color theme="1"/>
        <rFont val="宋体"/>
        <family val="3"/>
        <charset val="134"/>
      </rPr>
      <t>堆积时导轨与链条摩擦系数</t>
    </r>
    <r>
      <rPr>
        <sz val="11"/>
        <color theme="1"/>
        <rFont val="Tahoma"/>
        <family val="2"/>
      </rPr>
      <t>f3</t>
    </r>
    <phoneticPr fontId="4" type="noConversion"/>
  </si>
  <si>
    <t>滚子类型</t>
    <phoneticPr fontId="4" type="noConversion"/>
  </si>
  <si>
    <t>滚子材料</t>
    <phoneticPr fontId="4" type="noConversion"/>
  </si>
  <si>
    <t>钢制滚子</t>
  </si>
  <si>
    <t>钢制滚子</t>
    <phoneticPr fontId="4" type="noConversion"/>
  </si>
  <si>
    <t>是否需润滑</t>
    <phoneticPr fontId="4" type="noConversion"/>
  </si>
  <si>
    <t>UA</t>
    <phoneticPr fontId="4" type="noConversion"/>
  </si>
  <si>
    <t>UB</t>
    <phoneticPr fontId="4" type="noConversion"/>
  </si>
  <si>
    <t>塑料滚子</t>
    <phoneticPr fontId="4" type="noConversion"/>
  </si>
  <si>
    <t>是</t>
    <phoneticPr fontId="4" type="noConversion"/>
  </si>
  <si>
    <t>——</t>
    <phoneticPr fontId="4" type="noConversion"/>
  </si>
  <si>
    <t>f1</t>
    <phoneticPr fontId="4" type="noConversion"/>
  </si>
  <si>
    <t>f2</t>
    <phoneticPr fontId="4" type="noConversion"/>
  </si>
  <si>
    <t>D</t>
    <phoneticPr fontId="4" type="noConversion"/>
  </si>
  <si>
    <t>f3</t>
    <phoneticPr fontId="4" type="noConversion"/>
  </si>
  <si>
    <r>
      <rPr>
        <sz val="11"/>
        <color theme="1"/>
        <rFont val="宋体"/>
        <family val="3"/>
        <charset val="134"/>
      </rPr>
      <t>作用在链上最大拉力</t>
    </r>
    <r>
      <rPr>
        <sz val="11"/>
        <color theme="1"/>
        <rFont val="Tahoma"/>
        <family val="2"/>
      </rPr>
      <t>Fmax(KN)</t>
    </r>
    <phoneticPr fontId="4" type="noConversion"/>
  </si>
  <si>
    <t>初选链条型号</t>
    <phoneticPr fontId="4" type="noConversion"/>
  </si>
  <si>
    <r>
      <rPr>
        <sz val="11"/>
        <color theme="1"/>
        <rFont val="宋体"/>
        <family val="3"/>
        <charset val="134"/>
      </rPr>
      <t>表</t>
    </r>
    <r>
      <rPr>
        <sz val="11"/>
        <color theme="1"/>
        <rFont val="Tahoma"/>
        <family val="2"/>
      </rPr>
      <t xml:space="preserve">1 </t>
    </r>
    <r>
      <rPr>
        <sz val="11"/>
        <color theme="1"/>
        <rFont val="宋体"/>
        <family val="3"/>
        <charset val="134"/>
      </rPr>
      <t>速度系数</t>
    </r>
    <r>
      <rPr>
        <sz val="11"/>
        <color theme="1"/>
        <rFont val="Tahoma"/>
        <family val="2"/>
      </rPr>
      <t>Kv</t>
    </r>
    <phoneticPr fontId="4" type="noConversion"/>
  </si>
  <si>
    <r>
      <rPr>
        <sz val="11"/>
        <color theme="8" tint="-0.249977111117893"/>
        <rFont val="宋体"/>
        <family val="3"/>
        <charset val="134"/>
      </rPr>
      <t>表</t>
    </r>
    <r>
      <rPr>
        <sz val="11"/>
        <color theme="8" tint="-0.249977111117893"/>
        <rFont val="Tahoma"/>
        <family val="2"/>
      </rPr>
      <t>4</t>
    </r>
    <phoneticPr fontId="4" type="noConversion"/>
  </si>
  <si>
    <t>工作负载G</t>
    <phoneticPr fontId="4" type="noConversion"/>
  </si>
  <si>
    <r>
      <rPr>
        <sz val="11"/>
        <color theme="1"/>
        <rFont val="宋体"/>
        <family val="3"/>
        <charset val="134"/>
      </rPr>
      <t>表</t>
    </r>
    <r>
      <rPr>
        <sz val="11"/>
        <color theme="1"/>
        <rFont val="Tahoma"/>
        <family val="2"/>
      </rPr>
      <t xml:space="preserve">3 </t>
    </r>
    <r>
      <rPr>
        <sz val="11"/>
        <color theme="1"/>
        <rFont val="宋体"/>
        <family val="3"/>
        <charset val="134"/>
      </rPr>
      <t>倍速链规格与最大允许拉力</t>
    </r>
    <r>
      <rPr>
        <sz val="11"/>
        <color theme="1"/>
        <rFont val="Tahoma"/>
        <family val="2"/>
      </rPr>
      <t xml:space="preserve"> (KN, {kg})</t>
    </r>
    <phoneticPr fontId="4" type="noConversion"/>
  </si>
  <si>
    <r>
      <rPr>
        <sz val="11"/>
        <color theme="1"/>
        <rFont val="宋体"/>
        <family val="3"/>
        <charset val="134"/>
      </rPr>
      <t>表</t>
    </r>
    <r>
      <rPr>
        <sz val="11"/>
        <color theme="1"/>
        <rFont val="Tahoma"/>
        <family val="2"/>
      </rPr>
      <t xml:space="preserve">4 </t>
    </r>
    <r>
      <rPr>
        <sz val="11"/>
        <color theme="1"/>
        <rFont val="宋体"/>
        <family val="3"/>
        <charset val="134"/>
      </rPr>
      <t>滚子容许负载</t>
    </r>
    <r>
      <rPr>
        <sz val="11"/>
        <color theme="1"/>
        <rFont val="Tahoma"/>
        <family val="2"/>
      </rPr>
      <t xml:space="preserve"> (KN/m,{kg/m})</t>
    </r>
    <phoneticPr fontId="4" type="noConversion"/>
  </si>
  <si>
    <t>链条单位重量(kg/m)</t>
    <phoneticPr fontId="4" type="noConversion"/>
  </si>
  <si>
    <r>
      <rPr>
        <sz val="11"/>
        <color theme="1"/>
        <rFont val="宋体"/>
        <family val="3"/>
        <charset val="134"/>
      </rPr>
      <t>表</t>
    </r>
    <r>
      <rPr>
        <sz val="11"/>
        <color theme="1"/>
        <rFont val="Tahoma"/>
        <family val="2"/>
      </rPr>
      <t xml:space="preserve">2 </t>
    </r>
    <r>
      <rPr>
        <sz val="11"/>
        <color theme="1"/>
        <rFont val="宋体"/>
        <family val="3"/>
        <charset val="134"/>
      </rPr>
      <t>摩擦系数：输送时链条与轨道摩擦系数</t>
    </r>
    <r>
      <rPr>
        <sz val="11"/>
        <color theme="1"/>
        <rFont val="Tahoma"/>
        <family val="2"/>
      </rPr>
      <t>f1</t>
    </r>
    <r>
      <rPr>
        <sz val="11"/>
        <color theme="1"/>
        <rFont val="宋体"/>
        <family val="3"/>
        <charset val="134"/>
      </rPr>
      <t>；堆积时链条与物料摩擦系数</t>
    </r>
    <r>
      <rPr>
        <sz val="11"/>
        <color theme="1"/>
        <rFont val="Tahoma"/>
        <family val="2"/>
      </rPr>
      <t>f2</t>
    </r>
    <r>
      <rPr>
        <sz val="11"/>
        <color theme="1"/>
        <rFont val="宋体"/>
        <family val="3"/>
        <charset val="134"/>
      </rPr>
      <t>；堆积时链条与轨道摩擦系数</t>
    </r>
    <r>
      <rPr>
        <sz val="11"/>
        <color theme="1"/>
        <rFont val="Tahoma"/>
        <family val="2"/>
      </rPr>
      <t>f2</t>
    </r>
    <r>
      <rPr>
        <sz val="11"/>
        <color theme="1"/>
        <rFont val="宋体"/>
        <family val="3"/>
        <charset val="134"/>
      </rPr>
      <t>。</t>
    </r>
    <phoneticPr fontId="4" type="noConversion"/>
  </si>
  <si>
    <r>
      <rPr>
        <sz val="11"/>
        <color theme="1"/>
        <rFont val="宋体"/>
        <family val="3"/>
        <charset val="134"/>
      </rPr>
      <t>作用在链上最大拉力</t>
    </r>
    <r>
      <rPr>
        <sz val="11"/>
        <color theme="1"/>
        <rFont val="Tahoma"/>
        <family val="2"/>
      </rPr>
      <t>F (KN)</t>
    </r>
    <phoneticPr fontId="4" type="noConversion"/>
  </si>
  <si>
    <r>
      <rPr>
        <sz val="11"/>
        <color theme="1"/>
        <rFont val="宋体"/>
        <family val="3"/>
        <charset val="134"/>
      </rPr>
      <t>输送时链条与轨道摩擦系数</t>
    </r>
    <r>
      <rPr>
        <sz val="11"/>
        <color theme="1"/>
        <rFont val="Tahoma"/>
        <family val="2"/>
      </rPr>
      <t>f1</t>
    </r>
    <phoneticPr fontId="4" type="noConversion"/>
  </si>
  <si>
    <r>
      <rPr>
        <sz val="11"/>
        <color theme="8" tint="-0.249977111117893"/>
        <rFont val="宋体"/>
        <family val="3"/>
        <charset val="134"/>
      </rPr>
      <t>参考表</t>
    </r>
    <r>
      <rPr>
        <sz val="11"/>
        <color theme="8" tint="-0.249977111117893"/>
        <rFont val="Tahoma"/>
        <family val="2"/>
      </rPr>
      <t>2</t>
    </r>
    <phoneticPr fontId="4" type="noConversion"/>
  </si>
  <si>
    <r>
      <rPr>
        <sz val="11"/>
        <color theme="1"/>
        <rFont val="宋体"/>
        <family val="3"/>
        <charset val="134"/>
      </rPr>
      <t>双链条时每根拉力</t>
    </r>
    <r>
      <rPr>
        <sz val="11"/>
        <color theme="1"/>
        <rFont val="Tahoma"/>
        <family val="2"/>
      </rPr>
      <t>0.6Fmax(KN)</t>
    </r>
    <phoneticPr fontId="4" type="noConversion"/>
  </si>
  <si>
    <t>校核</t>
    <phoneticPr fontId="4" type="noConversion"/>
  </si>
  <si>
    <t>估算公式</t>
    <phoneticPr fontId="4" type="noConversion"/>
  </si>
  <si>
    <t>实际计算</t>
    <phoneticPr fontId="4" type="noConversion"/>
  </si>
  <si>
    <r>
      <rPr>
        <sz val="11"/>
        <color theme="1"/>
        <rFont val="宋体"/>
        <family val="3"/>
        <charset val="134"/>
      </rPr>
      <t>双链条时每根拉力</t>
    </r>
    <r>
      <rPr>
        <sz val="11"/>
        <color theme="1"/>
        <rFont val="Tahoma"/>
        <family val="2"/>
      </rPr>
      <t>0.6F(KN)</t>
    </r>
    <phoneticPr fontId="4" type="noConversion"/>
  </si>
  <si>
    <r>
      <rPr>
        <sz val="11"/>
        <color theme="1"/>
        <rFont val="宋体"/>
        <family val="3"/>
        <charset val="134"/>
      </rPr>
      <t>附表</t>
    </r>
    <r>
      <rPr>
        <sz val="11"/>
        <color theme="1"/>
        <rFont val="Tahoma"/>
        <family val="2"/>
      </rPr>
      <t xml:space="preserve"> </t>
    </r>
    <r>
      <rPr>
        <sz val="11"/>
        <color theme="1"/>
        <rFont val="宋体"/>
        <family val="3"/>
        <charset val="134"/>
      </rPr>
      <t>滚子材料与性能</t>
    </r>
    <phoneticPr fontId="4" type="noConversion"/>
  </si>
  <si>
    <r>
      <rPr>
        <sz val="11"/>
        <color theme="1"/>
        <rFont val="宋体"/>
        <family val="3"/>
        <charset val="134"/>
      </rPr>
      <t>表</t>
    </r>
    <r>
      <rPr>
        <sz val="11"/>
        <color theme="1"/>
        <rFont val="Tahoma"/>
        <family val="2"/>
      </rPr>
      <t xml:space="preserve">5 </t>
    </r>
    <r>
      <rPr>
        <sz val="11"/>
        <color theme="1"/>
        <rFont val="宋体"/>
        <family val="3"/>
        <charset val="134"/>
      </rPr>
      <t>倍速链参数</t>
    </r>
    <phoneticPr fontId="4" type="noConversion"/>
  </si>
  <si>
    <t>厂家样本</t>
    <phoneticPr fontId="4" type="noConversion"/>
  </si>
  <si>
    <t>已知条件：负载速度、输送长度、堆积或输送距离、物料单位重量和总重量</t>
    <phoneticPr fontId="4" type="noConversion"/>
  </si>
  <si>
    <r>
      <t>2</t>
    </r>
    <r>
      <rPr>
        <sz val="11"/>
        <color theme="1"/>
        <rFont val="宋体"/>
        <family val="3"/>
        <charset val="134"/>
      </rPr>
      <t>，负载重量校核</t>
    </r>
    <phoneticPr fontId="4" type="noConversion"/>
  </si>
  <si>
    <r>
      <rPr>
        <sz val="11"/>
        <color theme="1"/>
        <rFont val="宋体"/>
        <family val="3"/>
        <charset val="134"/>
      </rPr>
      <t>链条允许最大拉力</t>
    </r>
    <r>
      <rPr>
        <sz val="11"/>
        <color theme="1"/>
        <rFont val="Tahoma"/>
        <family val="2"/>
      </rPr>
      <t>[F](KN)</t>
    </r>
    <phoneticPr fontId="4" type="noConversion"/>
  </si>
  <si>
    <r>
      <rPr>
        <sz val="11"/>
        <color theme="1"/>
        <rFont val="宋体"/>
        <family val="3"/>
        <charset val="134"/>
      </rPr>
      <t>滚子容许负载</t>
    </r>
    <r>
      <rPr>
        <sz val="11"/>
        <color theme="1"/>
        <rFont val="Tahoma"/>
        <family val="2"/>
      </rPr>
      <t>[G](KN)</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</si>
  <si>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t>
    </r>
    <r>
      <rPr>
        <sz val="11"/>
        <color theme="1"/>
        <rFont val="Tahoma"/>
        <family val="2"/>
      </rPr>
      <t>2.5</t>
    </r>
    <r>
      <rPr>
        <sz val="11"/>
        <color theme="1"/>
        <rFont val="宋体"/>
        <family val="3"/>
        <charset val="134"/>
      </rPr>
      <t>倍速原理如图，其中</t>
    </r>
    <r>
      <rPr>
        <sz val="11"/>
        <color theme="1"/>
        <rFont val="Tahoma"/>
        <family val="2"/>
      </rPr>
      <t>R/r=1.5</t>
    </r>
    <r>
      <rPr>
        <sz val="11"/>
        <color theme="1"/>
        <rFont val="宋体"/>
        <family val="3"/>
        <charset val="134"/>
      </rPr>
      <t xml:space="preserve">，
</t>
    </r>
    <r>
      <rPr>
        <sz val="11"/>
        <color theme="1"/>
        <rFont val="Tahoma"/>
        <family val="2"/>
      </rPr>
      <t xml:space="preserve">        </t>
    </r>
    <r>
      <rPr>
        <sz val="11"/>
        <color theme="1"/>
        <rFont val="宋体"/>
        <family val="3"/>
        <charset val="134"/>
      </rPr>
      <t>厂家也有</t>
    </r>
    <r>
      <rPr>
        <sz val="11"/>
        <color theme="1"/>
        <rFont val="Tahoma"/>
        <family val="2"/>
      </rPr>
      <t>3.5</t>
    </r>
    <r>
      <rPr>
        <sz val="11"/>
        <color theme="1"/>
        <rFont val="宋体"/>
        <family val="3"/>
        <charset val="134"/>
      </rPr>
      <t xml:space="preserve">倍速链；
</t>
    </r>
    <r>
      <rPr>
        <sz val="11"/>
        <color theme="1"/>
        <rFont val="Tahoma"/>
        <family val="2"/>
      </rPr>
      <t xml:space="preserve">
    2</t>
    </r>
    <r>
      <rPr>
        <sz val="11"/>
        <color theme="1"/>
        <rFont val="宋体"/>
        <family val="3"/>
        <charset val="134"/>
      </rPr>
      <t>，其他安装配件如图；</t>
    </r>
    <r>
      <rPr>
        <sz val="11"/>
        <color theme="1"/>
        <rFont val="Tahoma"/>
        <family val="2"/>
      </rPr>
      <t xml:space="preserve">
    3</t>
    </r>
    <r>
      <rPr>
        <sz val="11"/>
        <color theme="1"/>
        <rFont val="宋体"/>
        <family val="3"/>
        <charset val="134"/>
      </rPr>
      <t>，滚子材料与性能见附表。</t>
    </r>
    <phoneticPr fontId="4" type="noConversion"/>
  </si>
  <si>
    <t>RF 2030 VR</t>
    <phoneticPr fontId="4" type="noConversion"/>
  </si>
  <si>
    <r>
      <t>3</t>
    </r>
    <r>
      <rPr>
        <sz val="11"/>
        <color theme="1"/>
        <rFont val="宋体"/>
        <family val="3"/>
        <charset val="134"/>
      </rPr>
      <t xml:space="preserve">，链条拉力校核
</t>
    </r>
    <r>
      <rPr>
        <sz val="11"/>
        <color theme="1"/>
        <rFont val="Tahoma"/>
        <family val="2"/>
      </rPr>
      <t xml:space="preserve">     </t>
    </r>
    <phoneticPr fontId="4" type="noConversion"/>
  </si>
  <si>
    <r>
      <rPr>
        <sz val="11"/>
        <color theme="1"/>
        <rFont val="宋体"/>
        <family val="3"/>
        <charset val="134"/>
      </rPr>
      <t>链轮齿数</t>
    </r>
    <r>
      <rPr>
        <sz val="11"/>
        <color theme="1"/>
        <rFont val="Tahoma"/>
        <family val="2"/>
      </rPr>
      <t>Z=Z1=Z2</t>
    </r>
    <phoneticPr fontId="4" type="noConversion"/>
  </si>
  <si>
    <t>节距</t>
    <phoneticPr fontId="4" type="noConversion"/>
  </si>
  <si>
    <r>
      <rPr>
        <sz val="11"/>
        <color theme="1"/>
        <rFont val="宋体"/>
        <family val="3"/>
        <charset val="134"/>
      </rPr>
      <t>表6</t>
    </r>
    <r>
      <rPr>
        <sz val="11"/>
        <color theme="1"/>
        <rFont val="Tahoma"/>
        <family val="2"/>
        <charset val="134"/>
      </rPr>
      <t xml:space="preserve">  </t>
    </r>
    <r>
      <rPr>
        <sz val="11"/>
        <color theme="1"/>
        <rFont val="宋体"/>
        <family val="3"/>
        <charset val="134"/>
      </rPr>
      <t>链轮选用齿数系列</t>
    </r>
    <phoneticPr fontId="4" type="noConversion"/>
  </si>
  <si>
    <r>
      <rPr>
        <sz val="11"/>
        <color theme="1"/>
        <rFont val="宋体"/>
        <family val="3"/>
        <charset val="134"/>
      </rPr>
      <t>节距</t>
    </r>
    <r>
      <rPr>
        <sz val="11"/>
        <color theme="1"/>
        <rFont val="Tahoma"/>
        <family val="2"/>
      </rPr>
      <t>p(mm)</t>
    </r>
    <phoneticPr fontId="4" type="noConversion"/>
  </si>
  <si>
    <r>
      <rPr>
        <sz val="11"/>
        <color theme="1"/>
        <rFont val="宋体"/>
        <family val="3"/>
        <charset val="134"/>
      </rPr>
      <t>链轮转速</t>
    </r>
    <r>
      <rPr>
        <sz val="11"/>
        <color theme="1"/>
        <rFont val="Tahoma"/>
        <family val="2"/>
      </rPr>
      <t>n(r/min)</t>
    </r>
    <phoneticPr fontId="4" type="noConversion"/>
  </si>
  <si>
    <r>
      <rPr>
        <sz val="11"/>
        <color theme="1"/>
        <rFont val="宋体"/>
        <family val="3"/>
        <charset val="134"/>
      </rPr>
      <t>所需转矩</t>
    </r>
    <r>
      <rPr>
        <sz val="11"/>
        <color theme="1"/>
        <rFont val="Tahoma"/>
        <family val="2"/>
      </rPr>
      <t>T(N.m)</t>
    </r>
    <phoneticPr fontId="4" type="noConversion"/>
  </si>
  <si>
    <t>选择动力需要的数据</t>
    <phoneticPr fontId="4" type="noConversion"/>
  </si>
  <si>
    <r>
      <rPr>
        <sz val="11"/>
        <color theme="1"/>
        <rFont val="宋体"/>
        <family val="3"/>
        <charset val="134"/>
      </rPr>
      <t xml:space="preserve">文档信息
编写：图惜
参考：《椿本小型输送链条样本》
</t>
    </r>
    <r>
      <rPr>
        <sz val="11"/>
        <color theme="1"/>
        <rFont val="Tahoma"/>
        <family val="2"/>
      </rPr>
      <t xml:space="preserve">         </t>
    </r>
    <r>
      <rPr>
        <sz val="11"/>
        <color theme="1"/>
        <rFont val="宋体"/>
        <family val="3"/>
        <charset val="134"/>
      </rPr>
      <t>《倍速链选型软件》</t>
    </r>
    <r>
      <rPr>
        <sz val="11"/>
        <color theme="1"/>
        <rFont val="Tahoma"/>
        <family val="2"/>
      </rPr>
      <t>——(</t>
    </r>
    <r>
      <rPr>
        <sz val="11"/>
        <color theme="1"/>
        <rFont val="宋体"/>
        <family val="3"/>
        <charset val="134"/>
      </rPr>
      <t>前桥教育</t>
    </r>
    <r>
      <rPr>
        <sz val="11"/>
        <color theme="1"/>
        <rFont val="Tahoma"/>
        <family val="2"/>
      </rPr>
      <t>)</t>
    </r>
    <r>
      <rPr>
        <sz val="11"/>
        <color theme="1"/>
        <rFont val="宋体"/>
        <family val="3"/>
        <charset val="134"/>
      </rPr>
      <t>宣言</t>
    </r>
    <r>
      <rPr>
        <sz val="11"/>
        <color theme="1"/>
        <rFont val="Tahoma"/>
        <family val="2"/>
      </rPr>
      <t xml:space="preserve">         </t>
    </r>
    <r>
      <rPr>
        <sz val="11"/>
        <color theme="1"/>
        <rFont val="宋体"/>
        <family val="3"/>
        <charset val="134"/>
      </rPr>
      <t xml:space="preserve">
</t>
    </r>
    <r>
      <rPr>
        <sz val="11"/>
        <color theme="1"/>
        <rFont val="Tahoma"/>
        <family val="2"/>
      </rPr>
      <t xml:space="preserve">                                                                          2018.8.8   </t>
    </r>
    <phoneticPr fontId="4" type="noConversion"/>
  </si>
  <si>
    <t>表5</t>
    <phoneticPr fontId="4" type="noConversion"/>
  </si>
  <si>
    <t>参考表2</t>
    <phoneticPr fontId="4" type="noConversion"/>
  </si>
  <si>
    <t>下拉列表选择</t>
    <phoneticPr fontId="4" type="noConversion"/>
  </si>
  <si>
    <r>
      <rPr>
        <sz val="11"/>
        <color rgb="FF0070C0"/>
        <rFont val="宋体"/>
        <family val="3"/>
        <charset val="134"/>
      </rPr>
      <t>表</t>
    </r>
    <r>
      <rPr>
        <sz val="11"/>
        <color rgb="FF0070C0"/>
        <rFont val="Tahoma"/>
        <family val="2"/>
      </rPr>
      <t>3</t>
    </r>
    <phoneticPr fontId="4" type="noConversion"/>
  </si>
  <si>
    <r>
      <rPr>
        <sz val="11"/>
        <color theme="1"/>
        <rFont val="宋体"/>
        <family val="3"/>
        <charset val="134"/>
      </rPr>
      <t>所需功率</t>
    </r>
    <r>
      <rPr>
        <sz val="11"/>
        <color theme="1"/>
        <rFont val="Tahoma"/>
        <family val="2"/>
      </rPr>
      <t>P(kw)</t>
    </r>
    <phoneticPr fontId="4" type="noConversion"/>
  </si>
  <si>
    <r>
      <t>3</t>
    </r>
    <r>
      <rPr>
        <sz val="11"/>
        <color theme="1"/>
        <rFont val="宋体"/>
        <family val="3"/>
        <charset val="134"/>
      </rPr>
      <t xml:space="preserve">，计算转速和所
</t>
    </r>
    <r>
      <rPr>
        <sz val="11"/>
        <color theme="1"/>
        <rFont val="Tahoma"/>
        <family val="2"/>
      </rPr>
      <t xml:space="preserve">     </t>
    </r>
    <r>
      <rPr>
        <sz val="11"/>
        <color theme="1"/>
        <rFont val="宋体"/>
        <family val="3"/>
        <charset val="134"/>
      </rPr>
      <t>需扭矩</t>
    </r>
    <r>
      <rPr>
        <sz val="11"/>
        <color theme="1"/>
        <rFont val="Tahoma"/>
        <family val="2"/>
      </rPr>
      <t>/</t>
    </r>
    <r>
      <rPr>
        <sz val="11"/>
        <color theme="1"/>
        <rFont val="宋体"/>
        <family val="3"/>
        <charset val="134"/>
      </rPr>
      <t>功率</t>
    </r>
    <phoneticPr fontId="4" type="noConversion"/>
  </si>
  <si>
    <t>自动
计算</t>
    <phoneticPr fontId="4" type="noConversion"/>
  </si>
  <si>
    <r>
      <rPr>
        <sz val="11"/>
        <color theme="1"/>
        <rFont val="宋体"/>
        <family val="3"/>
        <charset val="134"/>
      </rPr>
      <t>布局方式</t>
    </r>
    <phoneticPr fontId="4" type="noConversion"/>
  </si>
  <si>
    <t>负载重量(kg)</t>
    <phoneticPr fontId="4" type="noConversion"/>
  </si>
  <si>
    <r>
      <rPr>
        <sz val="11"/>
        <color theme="1"/>
        <rFont val="宋体"/>
        <family val="3"/>
        <charset val="134"/>
      </rPr>
      <t>气缸理论出力</t>
    </r>
    <r>
      <rPr>
        <sz val="11"/>
        <color theme="1"/>
        <rFont val="Tahoma"/>
        <family val="2"/>
      </rPr>
      <t>F(N)</t>
    </r>
    <phoneticPr fontId="4" type="noConversion"/>
  </si>
  <si>
    <r>
      <rPr>
        <sz val="11"/>
        <color theme="1"/>
        <rFont val="宋体"/>
        <family val="3"/>
        <charset val="134"/>
      </rPr>
      <t>速度</t>
    </r>
    <r>
      <rPr>
        <sz val="11"/>
        <color theme="1"/>
        <rFont val="Tahoma"/>
        <family val="2"/>
      </rPr>
      <t>(mm/s)</t>
    </r>
    <phoneticPr fontId="4" type="noConversion"/>
  </si>
  <si>
    <t>＜50</t>
    <phoneticPr fontId="4" type="noConversion"/>
  </si>
  <si>
    <t>η</t>
    <phoneticPr fontId="4" type="noConversion"/>
  </si>
  <si>
    <t>50~500</t>
    <phoneticPr fontId="4" type="noConversion"/>
  </si>
  <si>
    <r>
      <rPr>
        <sz val="11"/>
        <color theme="1"/>
        <rFont val="宋体"/>
        <family val="3"/>
        <charset val="134"/>
      </rPr>
      <t>＞</t>
    </r>
    <r>
      <rPr>
        <sz val="11"/>
        <color theme="1"/>
        <rFont val="Tahoma"/>
        <family val="2"/>
      </rPr>
      <t>500</t>
    </r>
    <phoneticPr fontId="4" type="noConversion"/>
  </si>
  <si>
    <r>
      <rPr>
        <sz val="11"/>
        <color theme="1"/>
        <rFont val="宋体"/>
        <family val="3"/>
        <charset val="134"/>
      </rPr>
      <t>≤</t>
    </r>
    <r>
      <rPr>
        <sz val="11"/>
        <color theme="1"/>
        <rFont val="Tahoma"/>
        <family val="2"/>
      </rPr>
      <t>0.5</t>
    </r>
    <phoneticPr fontId="4" type="noConversion"/>
  </si>
  <si>
    <t>应≤减压阀进口压力*85%</t>
    <phoneticPr fontId="4" type="noConversion"/>
  </si>
  <si>
    <r>
      <rPr>
        <sz val="11"/>
        <color theme="1"/>
        <rFont val="宋体"/>
        <family val="3"/>
        <charset val="134"/>
      </rPr>
      <t>工作气压力</t>
    </r>
    <r>
      <rPr>
        <sz val="11"/>
        <color theme="1"/>
        <rFont val="Tahoma"/>
        <family val="2"/>
      </rPr>
      <t>P(MPa)</t>
    </r>
    <phoneticPr fontId="4" type="noConversion"/>
  </si>
  <si>
    <r>
      <rPr>
        <sz val="11"/>
        <color theme="1"/>
        <rFont val="宋体"/>
        <family val="3"/>
        <charset val="134"/>
      </rPr>
      <t>拉力最小缸径</t>
    </r>
    <r>
      <rPr>
        <sz val="11"/>
        <color theme="1"/>
        <rFont val="Tahoma"/>
        <family val="2"/>
      </rPr>
      <t>D2</t>
    </r>
    <phoneticPr fontId="4" type="noConversion"/>
  </si>
  <si>
    <r>
      <rPr>
        <sz val="11"/>
        <color theme="1"/>
        <rFont val="宋体"/>
        <family val="3"/>
        <charset val="134"/>
      </rPr>
      <t>推力最小缸径</t>
    </r>
    <r>
      <rPr>
        <sz val="11"/>
        <color theme="1"/>
        <rFont val="Tahoma"/>
        <family val="2"/>
      </rPr>
      <t>D1</t>
    </r>
    <phoneticPr fontId="4" type="noConversion"/>
  </si>
  <si>
    <r>
      <rPr>
        <sz val="11"/>
        <color theme="1"/>
        <rFont val="宋体"/>
        <family val="3"/>
        <charset val="134"/>
      </rPr>
      <t>初设杆径</t>
    </r>
    <r>
      <rPr>
        <sz val="11"/>
        <color theme="1"/>
        <rFont val="Tahoma"/>
        <family val="2"/>
      </rPr>
      <t>d0</t>
    </r>
    <phoneticPr fontId="4" type="noConversion"/>
  </si>
  <si>
    <t>布局方式示意图</t>
    <phoneticPr fontId="4" type="noConversion"/>
  </si>
  <si>
    <r>
      <rPr>
        <sz val="11"/>
        <color theme="1"/>
        <rFont val="宋体"/>
        <family val="3"/>
        <charset val="134"/>
      </rPr>
      <t>表</t>
    </r>
    <r>
      <rPr>
        <sz val="11"/>
        <color theme="1"/>
        <rFont val="Tahoma"/>
        <family val="2"/>
      </rPr>
      <t>1</t>
    </r>
    <phoneticPr fontId="4" type="noConversion"/>
  </si>
  <si>
    <r>
      <rPr>
        <sz val="11"/>
        <color theme="1"/>
        <rFont val="宋体"/>
        <family val="3"/>
        <charset val="134"/>
      </rPr>
      <t>表</t>
    </r>
    <r>
      <rPr>
        <sz val="11"/>
        <color theme="1"/>
        <rFont val="Tahoma"/>
        <family val="2"/>
      </rPr>
      <t xml:space="preserve">1 </t>
    </r>
    <r>
      <rPr>
        <sz val="11"/>
        <color theme="1"/>
        <rFont val="宋体"/>
        <family val="3"/>
        <charset val="134"/>
      </rPr>
      <t>负载率η常取</t>
    </r>
    <r>
      <rPr>
        <sz val="11"/>
        <color theme="1"/>
        <rFont val="Tahoma"/>
        <family val="2"/>
      </rPr>
      <t>0.8, 0.65, 0.5, 0.35</t>
    </r>
    <phoneticPr fontId="4" type="noConversion"/>
  </si>
  <si>
    <r>
      <rPr>
        <sz val="11"/>
        <color theme="1"/>
        <rFont val="宋体"/>
        <family val="3"/>
        <charset val="134"/>
      </rPr>
      <t>表</t>
    </r>
    <r>
      <rPr>
        <sz val="11"/>
        <color theme="1"/>
        <rFont val="Tahoma"/>
        <family val="2"/>
      </rPr>
      <t xml:space="preserve">2 </t>
    </r>
    <r>
      <rPr>
        <sz val="11"/>
        <color theme="1"/>
        <rFont val="宋体"/>
        <family val="3"/>
        <charset val="134"/>
      </rPr>
      <t>双作用气缸出力表</t>
    </r>
    <r>
      <rPr>
        <sz val="11"/>
        <color theme="1"/>
        <rFont val="Tahoma"/>
        <family val="2"/>
      </rPr>
      <t>(CMD)</t>
    </r>
    <phoneticPr fontId="4" type="noConversion"/>
  </si>
  <si>
    <r>
      <rPr>
        <sz val="11"/>
        <color theme="1"/>
        <rFont val="宋体"/>
        <family val="3"/>
        <charset val="134"/>
      </rPr>
      <t>负载需最小力</t>
    </r>
    <r>
      <rPr>
        <sz val="11"/>
        <color theme="1"/>
        <rFont val="Tahoma"/>
        <family val="2"/>
      </rPr>
      <t>F0(N)</t>
    </r>
    <phoneticPr fontId="4" type="noConversion"/>
  </si>
  <si>
    <t>静止且非重要</t>
    <phoneticPr fontId="4" type="noConversion"/>
  </si>
  <si>
    <r>
      <rPr>
        <sz val="11"/>
        <color theme="1"/>
        <rFont val="宋体"/>
        <family val="3"/>
        <charset val="134"/>
      </rPr>
      <t>≤</t>
    </r>
    <r>
      <rPr>
        <sz val="11"/>
        <color theme="1"/>
        <rFont val="Tahoma"/>
        <family val="2"/>
      </rPr>
      <t>0.8</t>
    </r>
    <phoneticPr fontId="4" type="noConversion"/>
  </si>
  <si>
    <r>
      <rPr>
        <sz val="11"/>
        <color theme="1"/>
        <rFont val="宋体"/>
        <family val="3"/>
        <charset val="134"/>
      </rPr>
      <t>≤</t>
    </r>
    <r>
      <rPr>
        <sz val="11"/>
        <color theme="1"/>
        <rFont val="Tahoma"/>
        <family val="2"/>
      </rPr>
      <t>0.65</t>
    </r>
    <phoneticPr fontId="4" type="noConversion"/>
  </si>
  <si>
    <r>
      <rPr>
        <sz val="11"/>
        <color theme="1"/>
        <rFont val="宋体"/>
        <family val="3"/>
        <charset val="134"/>
      </rPr>
      <t>≤</t>
    </r>
    <r>
      <rPr>
        <sz val="11"/>
        <color theme="1"/>
        <rFont val="Tahoma"/>
        <family val="2"/>
      </rPr>
      <t>0.35</t>
    </r>
    <phoneticPr fontId="4" type="noConversion"/>
  </si>
  <si>
    <t>是</t>
  </si>
  <si>
    <r>
      <rPr>
        <sz val="11"/>
        <color theme="1"/>
        <rFont val="宋体"/>
        <family val="3"/>
        <charset val="134"/>
      </rPr>
      <t>表</t>
    </r>
    <r>
      <rPr>
        <sz val="11"/>
        <color theme="1"/>
        <rFont val="Tahoma"/>
        <family val="2"/>
      </rPr>
      <t xml:space="preserve">4 </t>
    </r>
    <r>
      <rPr>
        <sz val="11"/>
        <color theme="1"/>
        <rFont val="宋体"/>
        <family val="3"/>
        <charset val="134"/>
      </rPr>
      <t>安装方式</t>
    </r>
    <phoneticPr fontId="4" type="noConversion"/>
  </si>
  <si>
    <t>安装方式</t>
    <phoneticPr fontId="4" type="noConversion"/>
  </si>
  <si>
    <t>基本型</t>
  </si>
  <si>
    <r>
      <rPr>
        <sz val="11"/>
        <color theme="1"/>
        <rFont val="宋体"/>
        <family val="3"/>
        <charset val="134"/>
      </rPr>
      <t>表</t>
    </r>
    <r>
      <rPr>
        <sz val="11"/>
        <color theme="1"/>
        <rFont val="Tahoma"/>
        <family val="2"/>
      </rPr>
      <t xml:space="preserve">5 </t>
    </r>
    <r>
      <rPr>
        <sz val="11"/>
        <color theme="1"/>
        <rFont val="宋体"/>
        <family val="3"/>
        <charset val="134"/>
      </rPr>
      <t>缓冲方式</t>
    </r>
    <phoneticPr fontId="4" type="noConversion"/>
  </si>
  <si>
    <t>缓冲方式</t>
    <phoneticPr fontId="4" type="noConversion"/>
  </si>
  <si>
    <t>橡胶缓冲</t>
  </si>
  <si>
    <t>是否有磁石</t>
    <phoneticPr fontId="4" type="noConversion"/>
  </si>
  <si>
    <r>
      <rPr>
        <sz val="11"/>
        <color theme="1"/>
        <rFont val="宋体"/>
        <family val="3"/>
        <charset val="134"/>
      </rPr>
      <t>表</t>
    </r>
    <r>
      <rPr>
        <sz val="11"/>
        <color theme="1"/>
        <rFont val="Tahoma"/>
        <family val="2"/>
      </rPr>
      <t xml:space="preserve">6 </t>
    </r>
    <r>
      <rPr>
        <sz val="11"/>
        <color theme="1"/>
        <rFont val="宋体"/>
        <family val="3"/>
        <charset val="134"/>
      </rPr>
      <t>磁石选择</t>
    </r>
    <phoneticPr fontId="4" type="noConversion"/>
  </si>
  <si>
    <r>
      <rPr>
        <sz val="11"/>
        <color theme="1"/>
        <rFont val="宋体"/>
        <family val="3"/>
        <charset val="134"/>
      </rPr>
      <t>表</t>
    </r>
    <r>
      <rPr>
        <sz val="11"/>
        <color theme="1"/>
        <rFont val="Tahoma"/>
        <family val="2"/>
      </rPr>
      <t xml:space="preserve">7 </t>
    </r>
    <r>
      <rPr>
        <sz val="11"/>
        <color theme="1"/>
        <rFont val="宋体"/>
        <family val="3"/>
        <charset val="134"/>
      </rPr>
      <t>接头选择</t>
    </r>
    <phoneticPr fontId="4" type="noConversion"/>
  </si>
  <si>
    <t>接头选择</t>
    <phoneticPr fontId="4" type="noConversion"/>
  </si>
  <si>
    <t>I接头</t>
  </si>
  <si>
    <t>基本型号</t>
    <phoneticPr fontId="4" type="noConversion"/>
  </si>
  <si>
    <t>CJ 16x100</t>
    <phoneticPr fontId="4" type="noConversion"/>
  </si>
  <si>
    <r>
      <t>2</t>
    </r>
    <r>
      <rPr>
        <sz val="11"/>
        <color theme="1"/>
        <rFont val="宋体"/>
        <family val="3"/>
        <charset val="134"/>
      </rPr>
      <t>，确定气缸行程</t>
    </r>
    <r>
      <rPr>
        <sz val="11"/>
        <color theme="1"/>
        <rFont val="Tahoma"/>
        <family val="2"/>
      </rPr>
      <t xml:space="preserve">, 
     </t>
    </r>
    <r>
      <rPr>
        <sz val="11"/>
        <color theme="1"/>
        <rFont val="宋体"/>
        <family val="3"/>
        <charset val="134"/>
      </rPr>
      <t>确定基本型号</t>
    </r>
    <phoneticPr fontId="4" type="noConversion"/>
  </si>
  <si>
    <r>
      <t>1</t>
    </r>
    <r>
      <rPr>
        <sz val="11"/>
        <color theme="1"/>
        <rFont val="宋体"/>
        <family val="3"/>
        <charset val="134"/>
      </rPr>
      <t xml:space="preserve">，计算所需最小
</t>
    </r>
    <r>
      <rPr>
        <sz val="11"/>
        <color theme="1"/>
        <rFont val="Tahoma"/>
        <family val="2"/>
      </rPr>
      <t xml:space="preserve">     </t>
    </r>
    <r>
      <rPr>
        <sz val="11"/>
        <color theme="1"/>
        <rFont val="宋体"/>
        <family val="3"/>
        <charset val="134"/>
      </rPr>
      <t>缸径</t>
    </r>
    <phoneticPr fontId="4" type="noConversion"/>
  </si>
  <si>
    <t>附：亚德客迷你气缸标准行程表</t>
    <phoneticPr fontId="4" type="noConversion"/>
  </si>
  <si>
    <r>
      <rPr>
        <sz val="11"/>
        <color theme="1"/>
        <rFont val="宋体"/>
        <family val="3"/>
        <charset val="134"/>
      </rPr>
      <t>表</t>
    </r>
    <r>
      <rPr>
        <sz val="11"/>
        <color theme="1"/>
        <rFont val="Tahoma"/>
        <family val="2"/>
      </rPr>
      <t xml:space="preserve">3 </t>
    </r>
    <r>
      <rPr>
        <sz val="11"/>
        <color theme="1"/>
        <rFont val="宋体"/>
        <family val="3"/>
        <charset val="134"/>
      </rPr>
      <t>普通气缸缸径与行程</t>
    </r>
    <r>
      <rPr>
        <sz val="11"/>
        <color theme="1"/>
        <rFont val="Tahoma"/>
        <family val="2"/>
      </rPr>
      <t>(CMD)</t>
    </r>
    <phoneticPr fontId="4" type="noConversion"/>
  </si>
  <si>
    <r>
      <rPr>
        <sz val="11"/>
        <color theme="1"/>
        <rFont val="宋体"/>
        <family val="3"/>
        <charset val="134"/>
      </rPr>
      <t>附</t>
    </r>
    <r>
      <rPr>
        <sz val="11"/>
        <color theme="1"/>
        <rFont val="Tahoma"/>
        <family val="2"/>
      </rPr>
      <t xml:space="preserve"> </t>
    </r>
    <r>
      <rPr>
        <sz val="11"/>
        <color theme="1"/>
        <rFont val="宋体"/>
        <family val="3"/>
        <charset val="134"/>
      </rPr>
      <t>亚德客迷你气缸安装方式</t>
    </r>
    <phoneticPr fontId="4" type="noConversion"/>
  </si>
  <si>
    <t>附：亚德客气缸理论出力表</t>
    <phoneticPr fontId="4" type="noConversion"/>
  </si>
  <si>
    <r>
      <rPr>
        <sz val="11"/>
        <color theme="1"/>
        <rFont val="宋体"/>
        <family val="3"/>
        <charset val="134"/>
      </rPr>
      <t>附</t>
    </r>
    <r>
      <rPr>
        <sz val="11"/>
        <color theme="1"/>
        <rFont val="Tahoma"/>
        <family val="2"/>
      </rPr>
      <t xml:space="preserve"> </t>
    </r>
    <r>
      <rPr>
        <sz val="11"/>
        <color theme="1"/>
        <rFont val="宋体"/>
        <family val="3"/>
        <charset val="134"/>
      </rPr>
      <t>亚德客迷你气缸型号填写参考</t>
    </r>
    <phoneticPr fontId="4" type="noConversion"/>
  </si>
  <si>
    <r>
      <rPr>
        <sz val="11"/>
        <color theme="1"/>
        <rFont val="宋体"/>
        <family val="3"/>
        <charset val="134"/>
      </rPr>
      <t>附</t>
    </r>
    <r>
      <rPr>
        <sz val="11"/>
        <color theme="1"/>
        <rFont val="Tahoma"/>
        <family val="2"/>
      </rPr>
      <t xml:space="preserve"> </t>
    </r>
    <r>
      <rPr>
        <sz val="11"/>
        <color theme="1"/>
        <rFont val="宋体"/>
        <family val="3"/>
        <charset val="134"/>
      </rPr>
      <t>气缸速度参考</t>
    </r>
    <r>
      <rPr>
        <sz val="11"/>
        <color theme="1"/>
        <rFont val="Tahoma"/>
        <family val="2"/>
      </rPr>
      <t>(CMD)</t>
    </r>
    <phoneticPr fontId="4" type="noConversion"/>
  </si>
  <si>
    <r>
      <rPr>
        <b/>
        <sz val="16"/>
        <color theme="1"/>
        <rFont val="宋体"/>
        <family val="3"/>
        <charset val="134"/>
      </rPr>
      <t>气缸选型向导</t>
    </r>
    <r>
      <rPr>
        <b/>
        <sz val="16"/>
        <color theme="1"/>
        <rFont val="Tahoma"/>
        <family val="2"/>
      </rPr>
      <t>(</t>
    </r>
    <r>
      <rPr>
        <b/>
        <sz val="16"/>
        <color theme="1"/>
        <rFont val="宋体"/>
        <family val="3"/>
        <charset val="134"/>
      </rPr>
      <t>以</t>
    </r>
    <r>
      <rPr>
        <b/>
        <sz val="16"/>
        <color theme="1"/>
        <rFont val="Tahoma"/>
        <family val="2"/>
      </rPr>
      <t>CMD</t>
    </r>
    <r>
      <rPr>
        <b/>
        <sz val="16"/>
        <color theme="1"/>
        <rFont val="宋体"/>
        <family val="3"/>
        <charset val="134"/>
      </rPr>
      <t>和亚德客为例</t>
    </r>
    <r>
      <rPr>
        <b/>
        <sz val="16"/>
        <color theme="1"/>
        <rFont val="Tahoma"/>
        <family val="2"/>
      </rPr>
      <t>)</t>
    </r>
    <phoneticPr fontId="4" type="noConversion"/>
  </si>
  <si>
    <r>
      <t>3</t>
    </r>
    <r>
      <rPr>
        <sz val="11"/>
        <color theme="1"/>
        <rFont val="宋体"/>
        <family val="3"/>
        <charset val="134"/>
      </rPr>
      <t>，确定安装配件</t>
    </r>
    <r>
      <rPr>
        <sz val="11"/>
        <color theme="1"/>
        <rFont val="Tahoma"/>
        <family val="2"/>
      </rPr>
      <t xml:space="preserve"> 
    (</t>
    </r>
    <r>
      <rPr>
        <sz val="11"/>
        <color theme="1"/>
        <rFont val="宋体"/>
        <family val="3"/>
        <charset val="134"/>
      </rPr>
      <t>选填</t>
    </r>
    <r>
      <rPr>
        <sz val="11"/>
        <color theme="1"/>
        <rFont val="Tahoma"/>
        <family val="2"/>
      </rPr>
      <t>)</t>
    </r>
    <r>
      <rPr>
        <sz val="11"/>
        <color theme="1"/>
        <rFont val="宋体"/>
        <family val="3"/>
        <charset val="134"/>
      </rPr>
      <t xml:space="preserve">
</t>
    </r>
    <r>
      <rPr>
        <sz val="11"/>
        <color theme="1"/>
        <rFont val="Tahoma"/>
        <family val="2"/>
      </rPr>
      <t xml:space="preserve">     </t>
    </r>
    <phoneticPr fontId="4" type="noConversion"/>
  </si>
  <si>
    <t>参考说明</t>
    <phoneticPr fontId="4" type="noConversion"/>
  </si>
  <si>
    <t>未考虑η</t>
    <phoneticPr fontId="4" type="noConversion"/>
  </si>
  <si>
    <t>已考虑η，对应表2</t>
    <phoneticPr fontId="4" type="noConversion"/>
  </si>
  <si>
    <r>
      <rPr>
        <sz val="11"/>
        <rFont val="宋体"/>
        <family val="3"/>
        <charset val="134"/>
      </rPr>
      <t>表</t>
    </r>
    <r>
      <rPr>
        <sz val="11"/>
        <rFont val="Tahoma"/>
        <family val="2"/>
      </rPr>
      <t>3</t>
    </r>
    <phoneticPr fontId="4" type="noConversion"/>
  </si>
  <si>
    <r>
      <rPr>
        <sz val="11"/>
        <rFont val="宋体"/>
        <family val="3"/>
        <charset val="134"/>
      </rPr>
      <t>种类</t>
    </r>
    <r>
      <rPr>
        <sz val="11"/>
        <rFont val="Tahoma"/>
        <family val="2"/>
      </rPr>
      <t xml:space="preserve"> </t>
    </r>
    <r>
      <rPr>
        <sz val="11"/>
        <rFont val="宋体"/>
        <family val="3"/>
        <charset val="134"/>
      </rPr>
      <t>缸径</t>
    </r>
    <r>
      <rPr>
        <sz val="11"/>
        <rFont val="Tahoma"/>
        <family val="2"/>
      </rPr>
      <t>x</t>
    </r>
    <r>
      <rPr>
        <sz val="11"/>
        <rFont val="宋体"/>
        <family val="3"/>
        <charset val="134"/>
      </rPr>
      <t>行程</t>
    </r>
    <phoneticPr fontId="4" type="noConversion"/>
  </si>
  <si>
    <r>
      <rPr>
        <sz val="11"/>
        <color theme="1"/>
        <rFont val="宋体"/>
        <family val="3"/>
        <charset val="134"/>
      </rPr>
      <t>也可直接查样本
表</t>
    </r>
    <r>
      <rPr>
        <sz val="11"/>
        <color theme="1"/>
        <rFont val="Tahoma"/>
        <family val="2"/>
      </rPr>
      <t>2</t>
    </r>
    <phoneticPr fontId="4" type="noConversion"/>
  </si>
  <si>
    <r>
      <rPr>
        <b/>
        <sz val="16"/>
        <color theme="1"/>
        <rFont val="宋体"/>
        <family val="3"/>
        <charset val="134"/>
      </rPr>
      <t>回转气缸选型向导</t>
    </r>
    <r>
      <rPr>
        <b/>
        <sz val="16"/>
        <color theme="1"/>
        <rFont val="Tahoma"/>
        <family val="2"/>
      </rPr>
      <t>(</t>
    </r>
    <r>
      <rPr>
        <b/>
        <sz val="16"/>
        <color theme="1"/>
        <rFont val="宋体"/>
        <family val="3"/>
        <charset val="134"/>
      </rPr>
      <t>以</t>
    </r>
    <r>
      <rPr>
        <b/>
        <sz val="16"/>
        <color theme="1"/>
        <rFont val="宋体"/>
        <family val="3"/>
        <charset val="134"/>
      </rPr>
      <t>亚德客为例</t>
    </r>
    <r>
      <rPr>
        <b/>
        <sz val="16"/>
        <color theme="1"/>
        <rFont val="Tahoma"/>
        <family val="2"/>
      </rPr>
      <t>)</t>
    </r>
    <phoneticPr fontId="4" type="noConversion"/>
  </si>
  <si>
    <r>
      <t>SW</t>
    </r>
    <r>
      <rPr>
        <sz val="11"/>
        <color theme="1"/>
        <rFont val="宋体"/>
        <family val="3"/>
        <charset val="134"/>
      </rPr>
      <t>中查询惯性张量</t>
    </r>
    <phoneticPr fontId="4" type="noConversion"/>
  </si>
  <si>
    <r>
      <rPr>
        <sz val="11"/>
        <color theme="1"/>
        <rFont val="宋体"/>
        <family val="3"/>
        <charset val="134"/>
      </rPr>
      <t>负载惯性矩</t>
    </r>
    <r>
      <rPr>
        <sz val="11"/>
        <color theme="1"/>
        <rFont val="Tahoma"/>
        <family val="2"/>
      </rPr>
      <t>J(kg.mm²)</t>
    </r>
    <phoneticPr fontId="4" type="noConversion"/>
  </si>
  <si>
    <r>
      <rPr>
        <sz val="11"/>
        <color theme="1"/>
        <rFont val="宋体"/>
        <family val="3"/>
        <charset val="134"/>
      </rPr>
      <t>回转角度</t>
    </r>
    <r>
      <rPr>
        <sz val="11"/>
        <color theme="1"/>
        <rFont val="Tahoma"/>
        <family val="2"/>
      </rPr>
      <t>θ(°)</t>
    </r>
    <phoneticPr fontId="4" type="noConversion"/>
  </si>
  <si>
    <r>
      <rPr>
        <sz val="11"/>
        <color theme="1"/>
        <rFont val="宋体"/>
        <family val="3"/>
        <charset val="134"/>
      </rPr>
      <t>回转时间</t>
    </r>
    <r>
      <rPr>
        <sz val="11"/>
        <color theme="1"/>
        <rFont val="Tahoma"/>
        <family val="2"/>
      </rPr>
      <t>t(s)</t>
    </r>
    <phoneticPr fontId="4" type="noConversion"/>
  </si>
  <si>
    <r>
      <rPr>
        <sz val="11"/>
        <color theme="1"/>
        <rFont val="宋体"/>
        <family val="3"/>
        <charset val="134"/>
      </rPr>
      <t>负载率</t>
    </r>
    <r>
      <rPr>
        <sz val="11"/>
        <color theme="1"/>
        <rFont val="Tahoma"/>
        <family val="2"/>
      </rPr>
      <t>(</t>
    </r>
    <r>
      <rPr>
        <sz val="11"/>
        <color theme="1"/>
        <rFont val="宋体"/>
        <family val="3"/>
        <charset val="134"/>
      </rPr>
      <t>安全系数</t>
    </r>
    <r>
      <rPr>
        <sz val="11"/>
        <color theme="1"/>
        <rFont val="Tahoma"/>
        <family val="2"/>
      </rPr>
      <t>)η</t>
    </r>
    <phoneticPr fontId="4" type="noConversion"/>
  </si>
  <si>
    <r>
      <rPr>
        <sz val="11"/>
        <color theme="1"/>
        <rFont val="宋体"/>
        <family val="3"/>
        <charset val="134"/>
      </rPr>
      <t>安全系数</t>
    </r>
    <r>
      <rPr>
        <sz val="11"/>
        <color theme="1"/>
        <rFont val="Tahoma"/>
        <family val="2"/>
      </rPr>
      <t>K</t>
    </r>
    <phoneticPr fontId="4" type="noConversion"/>
  </si>
  <si>
    <t>一般取5</t>
    <phoneticPr fontId="4" type="noConversion"/>
  </si>
  <si>
    <t>角加速度α(rad/s²)</t>
    <phoneticPr fontId="4" type="noConversion"/>
  </si>
  <si>
    <t>T=KJα</t>
    <phoneticPr fontId="4" type="noConversion"/>
  </si>
  <si>
    <t>α=2θ/t²</t>
    <phoneticPr fontId="4" type="noConversion"/>
  </si>
  <si>
    <t>所需转矩T(N.m)</t>
    <phoneticPr fontId="4" type="noConversion"/>
  </si>
  <si>
    <r>
      <rPr>
        <sz val="11"/>
        <color theme="1"/>
        <rFont val="宋体"/>
        <family val="3"/>
        <charset val="134"/>
      </rPr>
      <t>最大角速度</t>
    </r>
    <r>
      <rPr>
        <sz val="11"/>
        <color theme="1"/>
        <rFont val="Tahoma"/>
        <family val="2"/>
      </rPr>
      <t>Wmax(rad/s)</t>
    </r>
    <phoneticPr fontId="4" type="noConversion"/>
  </si>
  <si>
    <t>Wmax=2θ/t</t>
    <phoneticPr fontId="4" type="noConversion"/>
  </si>
  <si>
    <r>
      <rPr>
        <sz val="11"/>
        <color theme="1"/>
        <rFont val="宋体"/>
        <family val="3"/>
        <charset val="134"/>
      </rPr>
      <t>负载最大动能</t>
    </r>
    <r>
      <rPr>
        <sz val="11"/>
        <color theme="1"/>
        <rFont val="Tahoma"/>
        <family val="2"/>
      </rPr>
      <t>Emax(J)</t>
    </r>
    <phoneticPr fontId="4" type="noConversion"/>
  </si>
  <si>
    <t>E=J*W²/2</t>
    <phoneticPr fontId="4" type="noConversion"/>
  </si>
  <si>
    <t>回转气缸0~190°</t>
    <phoneticPr fontId="4" type="noConversion"/>
  </si>
  <si>
    <r>
      <rPr>
        <sz val="11"/>
        <color theme="1"/>
        <rFont val="宋体"/>
        <family val="3"/>
        <charset val="134"/>
      </rPr>
      <t>负载重量</t>
    </r>
    <r>
      <rPr>
        <sz val="11"/>
        <color theme="1"/>
        <rFont val="Tahoma"/>
        <family val="2"/>
      </rPr>
      <t>m(kg)(</t>
    </r>
    <r>
      <rPr>
        <sz val="11"/>
        <color theme="1"/>
        <rFont val="宋体"/>
        <family val="3"/>
        <charset val="134"/>
      </rPr>
      <t>选填</t>
    </r>
    <r>
      <rPr>
        <sz val="11"/>
        <color theme="1"/>
        <rFont val="Tahoma"/>
        <family val="2"/>
      </rPr>
      <t>)</t>
    </r>
    <phoneticPr fontId="4" type="noConversion"/>
  </si>
  <si>
    <r>
      <t>2</t>
    </r>
    <r>
      <rPr>
        <sz val="11"/>
        <color theme="1"/>
        <rFont val="宋体"/>
        <family val="3"/>
        <charset val="134"/>
      </rPr>
      <t>，确定气缸</t>
    </r>
    <r>
      <rPr>
        <sz val="11"/>
        <color theme="1"/>
        <rFont val="宋体"/>
        <family val="3"/>
        <charset val="134"/>
      </rPr>
      <t>型号</t>
    </r>
    <phoneticPr fontId="4" type="noConversion"/>
  </si>
  <si>
    <t>气缸型号</t>
    <phoneticPr fontId="4" type="noConversion"/>
  </si>
  <si>
    <r>
      <rPr>
        <sz val="11"/>
        <color theme="1"/>
        <rFont val="宋体"/>
        <family val="3"/>
        <charset val="134"/>
      </rPr>
      <t>表</t>
    </r>
    <r>
      <rPr>
        <sz val="11"/>
        <color theme="1"/>
        <rFont val="Tahoma"/>
        <family val="2"/>
      </rPr>
      <t xml:space="preserve">1 </t>
    </r>
    <r>
      <rPr>
        <sz val="11"/>
        <color theme="1"/>
        <rFont val="宋体"/>
        <family val="3"/>
        <charset val="134"/>
      </rPr>
      <t>气缸允许转矩</t>
    </r>
    <phoneticPr fontId="4" type="noConversion"/>
  </si>
  <si>
    <t>表2 气缸允许最大动能</t>
    <phoneticPr fontId="4" type="noConversion"/>
  </si>
  <si>
    <r>
      <rPr>
        <sz val="11"/>
        <color theme="1"/>
        <rFont val="宋体"/>
        <family val="3"/>
        <charset val="134"/>
      </rPr>
      <t>表</t>
    </r>
    <r>
      <rPr>
        <sz val="11"/>
        <color theme="1"/>
        <rFont val="Tahoma"/>
        <family val="2"/>
      </rPr>
      <t>1</t>
    </r>
    <r>
      <rPr>
        <sz val="11"/>
        <color theme="1"/>
        <rFont val="宋体"/>
        <family val="3"/>
        <charset val="134"/>
      </rPr>
      <t>，表</t>
    </r>
    <r>
      <rPr>
        <sz val="11"/>
        <color theme="1"/>
        <rFont val="Tahoma"/>
        <family val="2"/>
      </rPr>
      <t>2</t>
    </r>
    <phoneticPr fontId="4" type="noConversion"/>
  </si>
  <si>
    <t>缓冲方式(选填)</t>
    <phoneticPr fontId="4" type="noConversion"/>
  </si>
  <si>
    <t>表2 气缸允许最大负载</t>
    <phoneticPr fontId="4" type="noConversion"/>
  </si>
  <si>
    <t>表2</t>
    <phoneticPr fontId="4" type="noConversion"/>
  </si>
  <si>
    <r>
      <rPr>
        <sz val="11"/>
        <color theme="1"/>
        <rFont val="宋体"/>
        <family val="3"/>
        <charset val="134"/>
      </rPr>
      <t>表</t>
    </r>
    <r>
      <rPr>
        <sz val="11"/>
        <color theme="1"/>
        <rFont val="Tahoma"/>
        <family val="2"/>
      </rPr>
      <t>3</t>
    </r>
    <phoneticPr fontId="4" type="noConversion"/>
  </si>
  <si>
    <r>
      <rPr>
        <sz val="11"/>
        <color theme="1"/>
        <rFont val="宋体"/>
        <family val="3"/>
        <charset val="134"/>
      </rPr>
      <t>气缸最大允许负载</t>
    </r>
    <r>
      <rPr>
        <sz val="11"/>
        <color theme="1"/>
        <rFont val="Tahoma"/>
        <family val="2"/>
      </rPr>
      <t>[mg](N)</t>
    </r>
    <phoneticPr fontId="4" type="noConversion"/>
  </si>
  <si>
    <t>气缸基本型号</t>
    <phoneticPr fontId="4" type="noConversion"/>
  </si>
  <si>
    <t>液压缓冲</t>
  </si>
  <si>
    <t>HRQ 20</t>
  </si>
  <si>
    <t>附表1 SW查询惯性张量示意图</t>
    <phoneticPr fontId="4" type="noConversion"/>
  </si>
  <si>
    <t>附表2 回转气缸型号标识</t>
    <phoneticPr fontId="4" type="noConversion"/>
  </si>
  <si>
    <r>
      <t>3</t>
    </r>
    <r>
      <rPr>
        <sz val="11"/>
        <color theme="1"/>
        <rFont val="宋体"/>
        <family val="3"/>
        <charset val="134"/>
      </rPr>
      <t>，负载校核</t>
    </r>
    <r>
      <rPr>
        <sz val="11"/>
        <color theme="1"/>
        <rFont val="Tahoma"/>
        <family val="2"/>
      </rPr>
      <t>(</t>
    </r>
    <r>
      <rPr>
        <sz val="11"/>
        <color theme="1"/>
        <rFont val="宋体"/>
        <family val="3"/>
        <charset val="134"/>
      </rPr>
      <t>选做</t>
    </r>
    <r>
      <rPr>
        <sz val="11"/>
        <color theme="1"/>
        <rFont val="Tahoma"/>
        <family val="2"/>
      </rPr>
      <t xml:space="preserve">     </t>
    </r>
    <phoneticPr fontId="4" type="noConversion"/>
  </si>
  <si>
    <r>
      <t>1</t>
    </r>
    <r>
      <rPr>
        <sz val="11"/>
        <color theme="1"/>
        <rFont val="宋体"/>
        <family val="3"/>
        <charset val="134"/>
      </rPr>
      <t>，计算</t>
    </r>
    <phoneticPr fontId="4" type="noConversion"/>
  </si>
  <si>
    <t>已知条件：负载重量、工作压力、负载惯性矩、回转角度、回转时间、安全系数</t>
    <phoneticPr fontId="4" type="noConversion"/>
  </si>
  <si>
    <t>示意图</t>
    <phoneticPr fontId="4" type="noConversion"/>
  </si>
  <si>
    <r>
      <rPr>
        <sz val="11"/>
        <color theme="1"/>
        <rFont val="宋体"/>
        <family val="3"/>
        <charset val="134"/>
      </rPr>
      <t>文档信息
编写：图惜
参考：《亚德客产品型录</t>
    </r>
    <r>
      <rPr>
        <sz val="11"/>
        <color theme="1"/>
        <rFont val="Tahoma"/>
        <family val="2"/>
      </rPr>
      <t>2018</t>
    </r>
    <r>
      <rPr>
        <sz val="11"/>
        <color theme="1"/>
        <rFont val="宋体"/>
        <family val="3"/>
        <charset val="134"/>
      </rPr>
      <t xml:space="preserve">》
</t>
    </r>
    <r>
      <rPr>
        <sz val="11"/>
        <color theme="1"/>
        <rFont val="Tahoma"/>
        <family val="2"/>
      </rPr>
      <t xml:space="preserve">         </t>
    </r>
    <r>
      <rPr>
        <sz val="11"/>
        <color theme="1"/>
        <rFont val="宋体"/>
        <family val="3"/>
        <charset val="134"/>
      </rPr>
      <t>《普通气缸选型计算》</t>
    </r>
    <r>
      <rPr>
        <sz val="11"/>
        <color theme="1"/>
        <rFont val="Tahoma"/>
        <family val="2"/>
      </rPr>
      <t>——(</t>
    </r>
    <r>
      <rPr>
        <sz val="11"/>
        <color theme="1"/>
        <rFont val="宋体"/>
        <family val="3"/>
        <charset val="134"/>
      </rPr>
      <t>前桥教育</t>
    </r>
    <r>
      <rPr>
        <sz val="11"/>
        <color theme="1"/>
        <rFont val="Tahoma"/>
        <family val="2"/>
      </rPr>
      <t xml:space="preserve">) </t>
    </r>
    <r>
      <rPr>
        <sz val="11"/>
        <color theme="1"/>
        <rFont val="宋体"/>
        <family val="3"/>
        <charset val="134"/>
      </rPr>
      <t>宣言</t>
    </r>
    <r>
      <rPr>
        <sz val="11"/>
        <color theme="1"/>
        <rFont val="Tahoma"/>
        <family val="2"/>
      </rPr>
      <t xml:space="preserve"> 
                                                                                                 2018.8.12   </t>
    </r>
    <phoneticPr fontId="4" type="noConversion"/>
  </si>
  <si>
    <r>
      <rPr>
        <sz val="11"/>
        <color theme="1"/>
        <rFont val="宋体"/>
        <family val="3"/>
        <charset val="134"/>
      </rPr>
      <t>已知条件</t>
    </r>
    <phoneticPr fontId="4" type="noConversion"/>
  </si>
  <si>
    <r>
      <rPr>
        <sz val="12"/>
        <color theme="1"/>
        <rFont val="宋体"/>
        <family val="3"/>
        <charset val="134"/>
      </rPr>
      <t>说明：</t>
    </r>
    <r>
      <rPr>
        <sz val="12"/>
        <color theme="1"/>
        <rFont val="Tahoma"/>
        <family val="2"/>
      </rPr>
      <t xml:space="preserve"> </t>
    </r>
    <r>
      <rPr>
        <sz val="12"/>
        <color theme="1"/>
        <rFont val="宋体"/>
        <family val="3"/>
        <charset val="134"/>
      </rPr>
      <t xml:space="preserve">
</t>
    </r>
    <r>
      <rPr>
        <sz val="12"/>
        <color theme="1"/>
        <rFont val="Tahoma"/>
        <family val="2"/>
      </rPr>
      <t xml:space="preserve">    1</t>
    </r>
    <r>
      <rPr>
        <sz val="12"/>
        <color theme="1"/>
        <rFont val="宋体"/>
        <family val="3"/>
        <charset val="134"/>
      </rPr>
      <t>，惯性矩即</t>
    </r>
    <r>
      <rPr>
        <sz val="12"/>
        <color theme="1"/>
        <rFont val="Tahoma"/>
        <family val="2"/>
      </rPr>
      <t>SW</t>
    </r>
    <r>
      <rPr>
        <sz val="12"/>
        <color theme="1"/>
        <rFont val="宋体"/>
        <family val="3"/>
        <charset val="134"/>
      </rPr>
      <t>软件中的惯性张量，其他</t>
    </r>
    <r>
      <rPr>
        <sz val="12"/>
        <color theme="1"/>
        <rFont val="Tahoma"/>
        <family val="2"/>
      </rPr>
      <t>CAD</t>
    </r>
    <r>
      <rPr>
        <sz val="12"/>
        <color theme="1"/>
        <rFont val="宋体"/>
        <family val="3"/>
        <charset val="134"/>
      </rPr>
      <t>软件也可查询，注意在</t>
    </r>
    <r>
      <rPr>
        <sz val="12"/>
        <color theme="1"/>
        <rFont val="Tahoma"/>
        <family val="2"/>
      </rPr>
      <t>SW</t>
    </r>
    <r>
      <rPr>
        <sz val="12"/>
        <color theme="1"/>
        <rFont val="宋体"/>
        <family val="3"/>
        <charset val="134"/>
      </rPr>
      <t>中先将旋转中心装配在</t>
    </r>
    <r>
      <rPr>
        <sz val="12"/>
        <color theme="1"/>
        <rFont val="Tahoma"/>
        <family val="2"/>
      </rPr>
      <t>Z</t>
    </r>
    <r>
      <rPr>
        <sz val="12"/>
        <color theme="1"/>
        <rFont val="宋体"/>
        <family val="3"/>
        <charset val="134"/>
      </rPr>
      <t>轴</t>
    </r>
    <r>
      <rPr>
        <sz val="12"/>
        <color theme="1"/>
        <rFont val="Tahoma"/>
        <family val="2"/>
      </rPr>
      <t>(</t>
    </r>
    <r>
      <rPr>
        <sz val="12"/>
        <color theme="1"/>
        <rFont val="宋体"/>
        <family val="3"/>
        <charset val="134"/>
      </rPr>
      <t>或</t>
    </r>
    <r>
      <rPr>
        <sz val="12"/>
        <color theme="1"/>
        <rFont val="Tahoma"/>
        <family val="2"/>
      </rPr>
      <t>X/Y</t>
    </r>
    <r>
      <rPr>
        <sz val="12"/>
        <color theme="1"/>
        <rFont val="宋体"/>
        <family val="3"/>
        <charset val="134"/>
      </rPr>
      <t>轴</t>
    </r>
    <r>
      <rPr>
        <sz val="12"/>
        <color theme="1"/>
        <rFont val="Tahoma"/>
        <family val="2"/>
      </rPr>
      <t>)</t>
    </r>
    <r>
      <rPr>
        <sz val="12"/>
        <color theme="1"/>
        <rFont val="宋体"/>
        <family val="3"/>
        <charset val="134"/>
      </rPr>
      <t>上，然后再查询质量属性，如附表</t>
    </r>
    <r>
      <rPr>
        <sz val="12"/>
        <color theme="1"/>
        <rFont val="Tahoma"/>
        <family val="2"/>
      </rPr>
      <t>1
    2</t>
    </r>
    <r>
      <rPr>
        <sz val="12"/>
        <color theme="1"/>
        <rFont val="宋体"/>
        <family val="3"/>
        <charset val="134"/>
      </rPr>
      <t>，回转气缸型号标识见附表</t>
    </r>
    <r>
      <rPr>
        <sz val="12"/>
        <color theme="1"/>
        <rFont val="Tahoma"/>
        <family val="2"/>
      </rPr>
      <t>2</t>
    </r>
    <phoneticPr fontId="4" type="noConversion"/>
  </si>
  <si>
    <t>已知条件：布局方式、负载重量、工作压力、摩擦系数、安全系数</t>
  </si>
  <si>
    <t>已知条件：布局方式、负载重量、工作压力、摩擦系数、安全系数</t>
    <phoneticPr fontId="4" type="noConversion"/>
  </si>
  <si>
    <t>水平</t>
  </si>
  <si>
    <t>负载重量m(kg)</t>
    <phoneticPr fontId="4" type="noConversion"/>
  </si>
  <si>
    <r>
      <rPr>
        <sz val="11"/>
        <color theme="1"/>
        <rFont val="宋体"/>
        <family val="3"/>
        <charset val="134"/>
      </rPr>
      <t>运行距离</t>
    </r>
    <r>
      <rPr>
        <sz val="11"/>
        <color theme="1"/>
        <rFont val="Tahoma"/>
        <family val="2"/>
      </rPr>
      <t>L(mm)</t>
    </r>
    <phoneticPr fontId="4" type="noConversion"/>
  </si>
  <si>
    <r>
      <rPr>
        <sz val="11"/>
        <color theme="1"/>
        <rFont val="宋体"/>
        <family val="3"/>
        <charset val="134"/>
      </rPr>
      <t>运行时间</t>
    </r>
    <r>
      <rPr>
        <sz val="11"/>
        <color theme="1"/>
        <rFont val="Tahoma"/>
        <family val="2"/>
      </rPr>
      <t>t(s)</t>
    </r>
    <phoneticPr fontId="4" type="noConversion"/>
  </si>
  <si>
    <r>
      <rPr>
        <sz val="11"/>
        <color theme="1"/>
        <rFont val="宋体"/>
        <family val="3"/>
        <charset val="134"/>
      </rPr>
      <t>负载偏离位置</t>
    </r>
    <r>
      <rPr>
        <sz val="11"/>
        <color theme="1"/>
        <rFont val="Tahoma"/>
        <family val="2"/>
      </rPr>
      <t>L1(mm)</t>
    </r>
    <phoneticPr fontId="4" type="noConversion"/>
  </si>
  <si>
    <r>
      <rPr>
        <sz val="11"/>
        <color theme="1"/>
        <rFont val="宋体"/>
        <family val="3"/>
        <charset val="134"/>
      </rPr>
      <t>负载偏离位置</t>
    </r>
    <r>
      <rPr>
        <sz val="11"/>
        <color theme="1"/>
        <rFont val="Tahoma"/>
        <family val="2"/>
      </rPr>
      <t>L2(mm)</t>
    </r>
    <phoneticPr fontId="4" type="noConversion"/>
  </si>
  <si>
    <r>
      <rPr>
        <sz val="11"/>
        <color theme="1"/>
        <rFont val="宋体"/>
        <family val="3"/>
        <charset val="134"/>
      </rPr>
      <t>负载偏离位置</t>
    </r>
    <r>
      <rPr>
        <sz val="11"/>
        <color theme="1"/>
        <rFont val="Tahoma"/>
        <family val="2"/>
      </rPr>
      <t>L3(mm)</t>
    </r>
    <phoneticPr fontId="4" type="noConversion"/>
  </si>
  <si>
    <r>
      <rPr>
        <sz val="11"/>
        <color theme="1"/>
        <rFont val="宋体"/>
        <family val="3"/>
        <charset val="134"/>
      </rPr>
      <t>负载动能</t>
    </r>
    <r>
      <rPr>
        <sz val="11"/>
        <color theme="1"/>
        <rFont val="Tahoma"/>
        <family val="2"/>
      </rPr>
      <t>E(J)</t>
    </r>
    <phoneticPr fontId="4" type="noConversion"/>
  </si>
  <si>
    <r>
      <rPr>
        <sz val="11"/>
        <color theme="1"/>
        <rFont val="宋体"/>
        <family val="3"/>
        <charset val="134"/>
      </rPr>
      <t>负载平均速度</t>
    </r>
    <r>
      <rPr>
        <sz val="11"/>
        <color theme="1"/>
        <rFont val="Tahoma"/>
        <family val="2"/>
      </rPr>
      <t>V(mm/s)</t>
    </r>
    <phoneticPr fontId="4" type="noConversion"/>
  </si>
  <si>
    <t>E=1/2m(1.4V/1000)²</t>
    <phoneticPr fontId="4" type="noConversion"/>
  </si>
  <si>
    <r>
      <rPr>
        <sz val="11"/>
        <color theme="1"/>
        <rFont val="宋体"/>
        <family val="3"/>
        <charset val="134"/>
      </rPr>
      <t>摩擦系数</t>
    </r>
    <r>
      <rPr>
        <sz val="11"/>
        <color theme="1"/>
        <rFont val="Tahoma"/>
        <family val="2"/>
      </rPr>
      <t>μ</t>
    </r>
    <phoneticPr fontId="4" type="noConversion"/>
  </si>
  <si>
    <t>负载率(安全系数)η</t>
    <phoneticPr fontId="4" type="noConversion"/>
  </si>
  <si>
    <t>常取0.8,0.65,0.5,0.35</t>
    <phoneticPr fontId="4" type="noConversion"/>
  </si>
  <si>
    <r>
      <rPr>
        <sz val="11"/>
        <color theme="1"/>
        <rFont val="宋体"/>
        <family val="3"/>
        <charset val="134"/>
      </rPr>
      <t>推杆直径≈</t>
    </r>
    <r>
      <rPr>
        <sz val="11"/>
        <color theme="1"/>
        <rFont val="Tahoma"/>
        <family val="2"/>
      </rPr>
      <t>0.5D</t>
    </r>
    <phoneticPr fontId="4" type="noConversion"/>
  </si>
  <si>
    <r>
      <rPr>
        <sz val="11"/>
        <color theme="1"/>
        <rFont val="宋体"/>
        <family val="3"/>
        <charset val="134"/>
      </rPr>
      <t>推杆直径≈</t>
    </r>
    <r>
      <rPr>
        <sz val="11"/>
        <color theme="1"/>
        <rFont val="Tahoma"/>
        <family val="2"/>
      </rPr>
      <t>0.4D</t>
    </r>
    <phoneticPr fontId="4" type="noConversion"/>
  </si>
  <si>
    <t>标准行程</t>
    <phoneticPr fontId="4" type="noConversion"/>
  </si>
  <si>
    <t>内径(杆径)</t>
    <phoneticPr fontId="4" type="noConversion"/>
  </si>
  <si>
    <t>5 10 15 20 25 30</t>
    <phoneticPr fontId="4" type="noConversion"/>
  </si>
  <si>
    <t>5 10 15 20 25 30 40 50</t>
    <phoneticPr fontId="4" type="noConversion"/>
  </si>
  <si>
    <t>5 10 15 20 25 30 40 50 60</t>
    <phoneticPr fontId="4" type="noConversion"/>
  </si>
  <si>
    <t>25 50 75 100</t>
    <phoneticPr fontId="4" type="noConversion"/>
  </si>
  <si>
    <t xml:space="preserve">10 20 30 40 50 </t>
    <phoneticPr fontId="4" type="noConversion"/>
  </si>
  <si>
    <t>10 20 30 40 50 75 100</t>
    <phoneticPr fontId="4" type="noConversion"/>
  </si>
  <si>
    <t>10 20 30 40 50 75 100 125</t>
    <phoneticPr fontId="4" type="noConversion"/>
  </si>
  <si>
    <t>10 20 30 40 50 75 100 125 150</t>
    <phoneticPr fontId="4" type="noConversion"/>
  </si>
  <si>
    <t xml:space="preserve">10 20 30 40 50 75 </t>
    <phoneticPr fontId="4" type="noConversion"/>
  </si>
  <si>
    <t>单轴</t>
    <phoneticPr fontId="4" type="noConversion"/>
  </si>
  <si>
    <t>双轴</t>
    <phoneticPr fontId="4" type="noConversion"/>
  </si>
  <si>
    <r>
      <t>HLH</t>
    </r>
    <r>
      <rPr>
        <sz val="11"/>
        <color theme="1"/>
        <rFont val="宋体"/>
        <family val="3"/>
        <charset val="134"/>
      </rPr>
      <t>精密
侧滑轨</t>
    </r>
    <phoneticPr fontId="4" type="noConversion"/>
  </si>
  <si>
    <t>6(3)</t>
    <phoneticPr fontId="4" type="noConversion"/>
  </si>
  <si>
    <t>10(4)</t>
    <phoneticPr fontId="4" type="noConversion"/>
  </si>
  <si>
    <t xml:space="preserve">16(6) </t>
    <phoneticPr fontId="4" type="noConversion"/>
  </si>
  <si>
    <t>20(8)</t>
    <phoneticPr fontId="4" type="noConversion"/>
  </si>
  <si>
    <t>10(6)</t>
    <phoneticPr fontId="4" type="noConversion"/>
  </si>
  <si>
    <t>16(10)</t>
    <phoneticPr fontId="4" type="noConversion"/>
  </si>
  <si>
    <t>25 50 75 100 125 150 175 200</t>
    <phoneticPr fontId="4" type="noConversion"/>
  </si>
  <si>
    <t>20(12)</t>
    <phoneticPr fontId="4" type="noConversion"/>
  </si>
  <si>
    <t>25(16)</t>
    <phoneticPr fontId="4" type="noConversion"/>
  </si>
  <si>
    <t>32(20)</t>
    <phoneticPr fontId="4" type="noConversion"/>
  </si>
  <si>
    <t>8(4)</t>
    <phoneticPr fontId="4" type="noConversion"/>
  </si>
  <si>
    <t>12(6)</t>
    <phoneticPr fontId="4" type="noConversion"/>
  </si>
  <si>
    <t>16(8)</t>
    <phoneticPr fontId="4" type="noConversion"/>
  </si>
  <si>
    <t>20(10)</t>
    <phoneticPr fontId="4" type="noConversion"/>
  </si>
  <si>
    <t>25(12)</t>
    <phoneticPr fontId="4" type="noConversion"/>
  </si>
  <si>
    <r>
      <rPr>
        <sz val="11"/>
        <color theme="1"/>
        <rFont val="宋体"/>
        <family val="3"/>
        <charset val="134"/>
      </rPr>
      <t>单轴气缸最小缸径</t>
    </r>
    <r>
      <rPr>
        <sz val="11"/>
        <color theme="1"/>
        <rFont val="Tahoma"/>
        <family val="2"/>
      </rPr>
      <t>D</t>
    </r>
    <phoneticPr fontId="4" type="noConversion"/>
  </si>
  <si>
    <r>
      <rPr>
        <sz val="11"/>
        <color theme="1"/>
        <rFont val="宋体"/>
        <family val="3"/>
        <charset val="134"/>
      </rPr>
      <t>推杆直径≈</t>
    </r>
    <r>
      <rPr>
        <sz val="11"/>
        <color theme="1"/>
        <rFont val="Tahoma"/>
        <family val="2"/>
      </rPr>
      <t>0.6D</t>
    </r>
    <phoneticPr fontId="4" type="noConversion"/>
  </si>
  <si>
    <r>
      <rPr>
        <sz val="11"/>
        <color theme="1"/>
        <rFont val="宋体"/>
        <family val="3"/>
        <charset val="134"/>
      </rPr>
      <t>精密双轴气缸最小缸径</t>
    </r>
    <r>
      <rPr>
        <sz val="11"/>
        <color theme="1"/>
        <rFont val="Tahoma"/>
        <family val="2"/>
      </rPr>
      <t>D</t>
    </r>
    <phoneticPr fontId="4" type="noConversion"/>
  </si>
  <si>
    <t>普通双轴气缸最小缸径D</t>
    <phoneticPr fontId="4" type="noConversion"/>
  </si>
  <si>
    <r>
      <rPr>
        <sz val="11"/>
        <color theme="1"/>
        <rFont val="宋体"/>
        <family val="3"/>
        <charset val="134"/>
      </rPr>
      <t>已考虑</t>
    </r>
    <r>
      <rPr>
        <sz val="11"/>
        <color theme="1"/>
        <rFont val="Tahoma"/>
        <family val="2"/>
      </rPr>
      <t>η</t>
    </r>
    <r>
      <rPr>
        <sz val="11"/>
        <color theme="1"/>
        <rFont val="宋体"/>
        <family val="3"/>
        <charset val="134"/>
      </rPr>
      <t/>
    </r>
    <phoneticPr fontId="4" type="noConversion"/>
  </si>
  <si>
    <t>活塞数量</t>
    <phoneticPr fontId="4" type="noConversion"/>
  </si>
  <si>
    <t>类型</t>
    <phoneticPr fontId="4" type="noConversion"/>
  </si>
  <si>
    <t>HLQ滚珠双轴</t>
  </si>
  <si>
    <t>初选型号</t>
    <phoneticPr fontId="4" type="noConversion"/>
  </si>
  <si>
    <r>
      <rPr>
        <sz val="11"/>
        <color theme="1"/>
        <rFont val="宋体"/>
        <family val="3"/>
        <charset val="134"/>
      </rPr>
      <t>负载安装校核系数</t>
    </r>
    <r>
      <rPr>
        <sz val="11"/>
        <color theme="1"/>
        <rFont val="Tahoma"/>
        <family val="2"/>
      </rPr>
      <t>K</t>
    </r>
    <phoneticPr fontId="4" type="noConversion"/>
  </si>
  <si>
    <r>
      <t>HLF</t>
    </r>
    <r>
      <rPr>
        <sz val="11"/>
        <color theme="1"/>
        <rFont val="宋体"/>
        <family val="3"/>
        <charset val="134"/>
      </rPr>
      <t>超薄
精密</t>
    </r>
    <phoneticPr fontId="4" type="noConversion"/>
  </si>
  <si>
    <t>8(3)</t>
    <phoneticPr fontId="4" type="noConversion"/>
  </si>
  <si>
    <t>12(4)</t>
    <phoneticPr fontId="4" type="noConversion"/>
  </si>
  <si>
    <t>10 20 30</t>
    <phoneticPr fontId="4" type="noConversion"/>
  </si>
  <si>
    <t>20 30 50</t>
    <phoneticPr fontId="4" type="noConversion"/>
  </si>
  <si>
    <t>30 50 75</t>
    <phoneticPr fontId="4" type="noConversion"/>
  </si>
  <si>
    <t>30 50 75 100</t>
    <phoneticPr fontId="4" type="noConversion"/>
  </si>
  <si>
    <t>允许载荷修正系数β</t>
    <phoneticPr fontId="4" type="noConversion"/>
  </si>
  <si>
    <r>
      <rPr>
        <sz val="11"/>
        <color theme="1"/>
        <rFont val="宋体"/>
        <family val="3"/>
        <charset val="134"/>
      </rPr>
      <t>可取</t>
    </r>
    <r>
      <rPr>
        <sz val="11"/>
        <color theme="1"/>
        <rFont val="Tahoma"/>
        <family val="2"/>
      </rPr>
      <t>0.01~0.1</t>
    </r>
    <phoneticPr fontId="4" type="noConversion"/>
  </si>
  <si>
    <t>缓冲类型</t>
    <phoneticPr fontId="4" type="noConversion"/>
  </si>
  <si>
    <t>调节螺丝</t>
  </si>
  <si>
    <r>
      <rPr>
        <sz val="11"/>
        <color theme="1"/>
        <rFont val="宋体"/>
        <family val="3"/>
        <charset val="134"/>
      </rPr>
      <t>表</t>
    </r>
    <r>
      <rPr>
        <sz val="11"/>
        <color theme="1"/>
        <rFont val="Tahoma"/>
        <family val="2"/>
      </rPr>
      <t>4</t>
    </r>
    <phoneticPr fontId="4" type="noConversion"/>
  </si>
  <si>
    <r>
      <rPr>
        <sz val="11"/>
        <color theme="1"/>
        <rFont val="宋体"/>
        <family val="3"/>
        <charset val="134"/>
      </rPr>
      <t>运行过程力矩</t>
    </r>
    <r>
      <rPr>
        <sz val="11"/>
        <color theme="1"/>
        <rFont val="Tahoma"/>
        <family val="2"/>
      </rPr>
      <t>Mp(N.m)</t>
    </r>
    <phoneticPr fontId="4" type="noConversion"/>
  </si>
  <si>
    <r>
      <rPr>
        <sz val="11"/>
        <color theme="1"/>
        <rFont val="宋体"/>
        <family val="3"/>
        <charset val="134"/>
      </rPr>
      <t>运行过程力矩</t>
    </r>
    <r>
      <rPr>
        <sz val="11"/>
        <color theme="1"/>
        <rFont val="Tahoma"/>
        <family val="2"/>
      </rPr>
      <t>Mr(N.m)</t>
    </r>
    <phoneticPr fontId="4" type="noConversion"/>
  </si>
  <si>
    <r>
      <rPr>
        <sz val="11"/>
        <color theme="1"/>
        <rFont val="宋体"/>
        <family val="3"/>
        <charset val="134"/>
      </rPr>
      <t>运行过程力矩</t>
    </r>
    <r>
      <rPr>
        <sz val="11"/>
        <color theme="1"/>
        <rFont val="Tahoma"/>
        <family val="2"/>
      </rPr>
      <t>My(N.m)</t>
    </r>
    <phoneticPr fontId="4" type="noConversion"/>
  </si>
  <si>
    <r>
      <rPr>
        <sz val="11"/>
        <color theme="1"/>
        <rFont val="宋体"/>
        <family val="3"/>
        <charset val="134"/>
      </rPr>
      <t>运行末端力矩</t>
    </r>
    <r>
      <rPr>
        <sz val="11"/>
        <color theme="1"/>
        <rFont val="Tahoma"/>
        <family val="2"/>
      </rPr>
      <t>Mp0(N.m)</t>
    </r>
    <phoneticPr fontId="4" type="noConversion"/>
  </si>
  <si>
    <r>
      <rPr>
        <sz val="11"/>
        <color theme="1"/>
        <rFont val="宋体"/>
        <family val="3"/>
        <charset val="134"/>
      </rPr>
      <t>运行末端力矩</t>
    </r>
    <r>
      <rPr>
        <sz val="11"/>
        <color theme="1"/>
        <rFont val="Tahoma"/>
        <family val="2"/>
      </rPr>
      <t>Mr0(N.m)</t>
    </r>
    <phoneticPr fontId="4" type="noConversion"/>
  </si>
  <si>
    <r>
      <rPr>
        <sz val="11"/>
        <color theme="1"/>
        <rFont val="宋体"/>
        <family val="3"/>
        <charset val="134"/>
      </rPr>
      <t>运行末端力矩</t>
    </r>
    <r>
      <rPr>
        <sz val="11"/>
        <color theme="1"/>
        <rFont val="Tahoma"/>
        <family val="2"/>
      </rPr>
      <t>My0(N.m)</t>
    </r>
    <phoneticPr fontId="4" type="noConversion"/>
  </si>
  <si>
    <t>负载力W(N)</t>
    <phoneticPr fontId="4" type="noConversion"/>
  </si>
  <si>
    <t>W=mg</t>
    <phoneticPr fontId="4" type="noConversion"/>
  </si>
  <si>
    <t>惯性加速度a(m/s²)</t>
    <phoneticPr fontId="4" type="noConversion"/>
  </si>
  <si>
    <r>
      <rPr>
        <sz val="11"/>
        <color theme="1"/>
        <rFont val="宋体"/>
        <family val="3"/>
        <charset val="134"/>
      </rPr>
      <t>补偿系数</t>
    </r>
    <r>
      <rPr>
        <sz val="11"/>
        <color theme="1"/>
        <rFont val="Tahoma"/>
        <family val="2"/>
      </rPr>
      <t>A(mm)</t>
    </r>
    <phoneticPr fontId="4" type="noConversion"/>
  </si>
  <si>
    <r>
      <rPr>
        <sz val="11"/>
        <color theme="1"/>
        <rFont val="宋体"/>
        <family val="3"/>
        <charset val="134"/>
      </rPr>
      <t>补偿系数</t>
    </r>
    <r>
      <rPr>
        <sz val="11"/>
        <color theme="1"/>
        <rFont val="Tahoma"/>
        <family val="2"/>
      </rPr>
      <t>B(mm)</t>
    </r>
    <phoneticPr fontId="4" type="noConversion"/>
  </si>
  <si>
    <t>最大允许力矩Mp0max(N.m)</t>
    <phoneticPr fontId="4" type="noConversion"/>
  </si>
  <si>
    <t>最大允许力矩Mr0max(N.m)</t>
    <phoneticPr fontId="4" type="noConversion"/>
  </si>
  <si>
    <t>最大允许力矩My0max(N.m)</t>
    <phoneticPr fontId="4" type="noConversion"/>
  </si>
  <si>
    <t>最大允许力矩Mpmax(N.m)</t>
    <phoneticPr fontId="4" type="noConversion"/>
  </si>
  <si>
    <t>最大允许力矩Mrmax(N.m)</t>
    <phoneticPr fontId="4" type="noConversion"/>
  </si>
  <si>
    <t>最大允许力矩Mymax(N.m)</t>
    <phoneticPr fontId="4" type="noConversion"/>
  </si>
  <si>
    <r>
      <rPr>
        <sz val="11"/>
        <color theme="1"/>
        <rFont val="宋体"/>
        <family val="3"/>
        <charset val="134"/>
      </rPr>
      <t>表</t>
    </r>
    <r>
      <rPr>
        <sz val="11"/>
        <color theme="1"/>
        <rFont val="Tahoma"/>
        <family val="2"/>
      </rPr>
      <t xml:space="preserve">4 </t>
    </r>
    <r>
      <rPr>
        <sz val="11"/>
        <color theme="1"/>
        <rFont val="宋体"/>
        <family val="3"/>
        <charset val="134"/>
      </rPr>
      <t>最大允许力矩（</t>
    </r>
    <r>
      <rPr>
        <sz val="11"/>
        <color theme="1"/>
        <rFont val="Tahoma"/>
        <family val="2"/>
      </rPr>
      <t>Nm</t>
    </r>
    <r>
      <rPr>
        <sz val="11"/>
        <color theme="1"/>
        <rFont val="宋体"/>
        <family val="3"/>
        <charset val="134"/>
      </rPr>
      <t>）与补偿系数（</t>
    </r>
    <r>
      <rPr>
        <sz val="11"/>
        <color theme="1"/>
        <rFont val="Tahoma"/>
        <family val="2"/>
      </rPr>
      <t>mm</t>
    </r>
    <r>
      <rPr>
        <sz val="11"/>
        <color theme="1"/>
        <rFont val="宋体"/>
        <family val="3"/>
        <charset val="134"/>
      </rPr>
      <t>）</t>
    </r>
    <phoneticPr fontId="4" type="noConversion"/>
  </si>
  <si>
    <t>运行过程力矩M(N.m)</t>
    <phoneticPr fontId="4" type="noConversion"/>
  </si>
  <si>
    <t>运行末端力矩M0(N.m)</t>
    <phoneticPr fontId="4" type="noConversion"/>
  </si>
  <si>
    <t>确认型号</t>
    <phoneticPr fontId="4" type="noConversion"/>
  </si>
  <si>
    <t>竖直</t>
  </si>
  <si>
    <t>测量方法见附表,用CAD软件测量负载重心位置:
L1到气缸端面距离，
L2到气缸顶面距离，
L3到气缸中线距离。</t>
    <phoneticPr fontId="4" type="noConversion"/>
  </si>
  <si>
    <r>
      <rPr>
        <sz val="11"/>
        <color theme="1"/>
        <rFont val="宋体"/>
        <family val="3"/>
        <charset val="134"/>
      </rPr>
      <t>水平</t>
    </r>
    <r>
      <rPr>
        <sz val="11"/>
        <color theme="1"/>
        <rFont val="Tahoma"/>
        <family val="2"/>
      </rPr>
      <t>/</t>
    </r>
    <r>
      <rPr>
        <sz val="11"/>
        <color theme="1"/>
        <rFont val="宋体"/>
        <family val="3"/>
        <charset val="134"/>
      </rPr>
      <t>竖直</t>
    </r>
    <phoneticPr fontId="4" type="noConversion"/>
  </si>
  <si>
    <r>
      <t>1</t>
    </r>
    <r>
      <rPr>
        <sz val="11"/>
        <color theme="1"/>
        <rFont val="宋体"/>
        <family val="3"/>
        <charset val="134"/>
      </rPr>
      <t>，最小缸径计算</t>
    </r>
    <phoneticPr fontId="4" type="noConversion"/>
  </si>
  <si>
    <r>
      <rPr>
        <sz val="11"/>
        <color theme="1"/>
        <rFont val="宋体"/>
        <family val="3"/>
        <charset val="134"/>
      </rPr>
      <t>要求气缸允许动能</t>
    </r>
    <r>
      <rPr>
        <sz val="11"/>
        <color theme="1"/>
        <rFont val="Tahoma"/>
        <family val="2"/>
      </rPr>
      <t>Emax(J)</t>
    </r>
    <phoneticPr fontId="4" type="noConversion"/>
  </si>
  <si>
    <r>
      <rPr>
        <sz val="11"/>
        <color theme="1"/>
        <rFont val="宋体"/>
        <family val="3"/>
        <charset val="134"/>
      </rPr>
      <t>要求气缸允许负载</t>
    </r>
    <r>
      <rPr>
        <sz val="11"/>
        <color theme="1"/>
        <rFont val="Tahoma"/>
        <family val="2"/>
      </rPr>
      <t>Wmax(N)</t>
    </r>
    <phoneticPr fontId="4" type="noConversion"/>
  </si>
  <si>
    <t>气缸类型选取</t>
    <phoneticPr fontId="4" type="noConversion"/>
  </si>
  <si>
    <t>气缸缸径选取</t>
    <phoneticPr fontId="4" type="noConversion"/>
  </si>
  <si>
    <t>气缸行程选取</t>
    <phoneticPr fontId="4" type="noConversion"/>
  </si>
  <si>
    <r>
      <rPr>
        <sz val="11"/>
        <color theme="1"/>
        <rFont val="宋体"/>
        <family val="3"/>
        <charset val="134"/>
      </rPr>
      <t>表2</t>
    </r>
    <r>
      <rPr>
        <sz val="11"/>
        <color theme="1"/>
        <rFont val="Tahoma"/>
        <family val="2"/>
      </rPr>
      <t xml:space="preserve"> </t>
    </r>
    <r>
      <rPr>
        <sz val="11"/>
        <color theme="1"/>
        <rFont val="宋体"/>
        <family val="3"/>
        <charset val="134"/>
      </rPr>
      <t>亚德客滑台气缸标准行程</t>
    </r>
    <phoneticPr fontId="4" type="noConversion"/>
  </si>
  <si>
    <t>结合运行距离、最小缸径、要求动能和要求负载查表2</t>
    <phoneticPr fontId="4" type="noConversion"/>
  </si>
  <si>
    <r>
      <rPr>
        <sz val="11"/>
        <color theme="1"/>
        <rFont val="宋体"/>
        <family val="3"/>
        <charset val="134"/>
      </rPr>
      <t>表1A</t>
    </r>
    <r>
      <rPr>
        <sz val="11"/>
        <color theme="1"/>
        <rFont val="Tahoma"/>
        <family val="2"/>
      </rPr>
      <t xml:space="preserve"> </t>
    </r>
    <r>
      <rPr>
        <sz val="11"/>
        <color theme="1"/>
        <rFont val="宋体"/>
        <family val="3"/>
        <charset val="134"/>
      </rPr>
      <t>负载安装方式修正系数</t>
    </r>
    <phoneticPr fontId="4" type="noConversion"/>
  </si>
  <si>
    <r>
      <rPr>
        <sz val="11"/>
        <color theme="1"/>
        <rFont val="宋体"/>
        <family val="3"/>
        <charset val="134"/>
      </rPr>
      <t>表1B 允许载荷修正系数</t>
    </r>
    <r>
      <rPr>
        <sz val="11"/>
        <color theme="1"/>
        <rFont val="Tahoma"/>
        <family val="2"/>
      </rPr>
      <t>β</t>
    </r>
    <phoneticPr fontId="4" type="noConversion"/>
  </si>
  <si>
    <t>表1A</t>
    <phoneticPr fontId="4" type="noConversion"/>
  </si>
  <si>
    <r>
      <rPr>
        <sz val="12"/>
        <color theme="1"/>
        <rFont val="宋体"/>
        <family val="3"/>
        <charset val="134"/>
      </rPr>
      <t>说明：</t>
    </r>
    <r>
      <rPr>
        <sz val="12"/>
        <color theme="1"/>
        <rFont val="Tahoma"/>
        <family val="2"/>
      </rPr>
      <t xml:space="preserve"> </t>
    </r>
    <r>
      <rPr>
        <sz val="12"/>
        <color theme="1"/>
        <rFont val="宋体"/>
        <family val="3"/>
        <charset val="134"/>
      </rPr>
      <t xml:space="preserve">
</t>
    </r>
    <r>
      <rPr>
        <sz val="12"/>
        <color theme="1"/>
        <rFont val="Tahoma"/>
        <family val="2"/>
      </rPr>
      <t xml:space="preserve">    1</t>
    </r>
    <r>
      <rPr>
        <sz val="12"/>
        <color theme="1"/>
        <rFont val="宋体"/>
        <family val="3"/>
        <charset val="134"/>
      </rPr>
      <t>，重心位置</t>
    </r>
    <r>
      <rPr>
        <sz val="12"/>
        <color theme="1"/>
        <rFont val="Tahoma"/>
        <family val="2"/>
      </rPr>
      <t>L1</t>
    </r>
    <r>
      <rPr>
        <sz val="12"/>
        <color theme="1"/>
        <rFont val="宋体"/>
        <family val="3"/>
        <charset val="134"/>
      </rPr>
      <t>、</t>
    </r>
    <r>
      <rPr>
        <sz val="12"/>
        <color theme="1"/>
        <rFont val="Tahoma"/>
        <family val="2"/>
      </rPr>
      <t>L2</t>
    </r>
    <r>
      <rPr>
        <sz val="12"/>
        <color theme="1"/>
        <rFont val="宋体"/>
        <family val="3"/>
        <charset val="134"/>
      </rPr>
      <t>、</t>
    </r>
    <r>
      <rPr>
        <sz val="12"/>
        <color theme="1"/>
        <rFont val="Tahoma"/>
        <family val="2"/>
      </rPr>
      <t>L3</t>
    </r>
    <r>
      <rPr>
        <sz val="12"/>
        <color theme="1"/>
        <rFont val="宋体"/>
        <family val="3"/>
        <charset val="134"/>
      </rPr>
      <t>可在</t>
    </r>
    <r>
      <rPr>
        <sz val="12"/>
        <color theme="1"/>
        <rFont val="Tahoma"/>
        <family val="2"/>
      </rPr>
      <t>CAD</t>
    </r>
    <r>
      <rPr>
        <sz val="12"/>
        <color theme="1"/>
        <rFont val="宋体"/>
        <family val="3"/>
        <charset val="134"/>
      </rPr>
      <t>软件也可查询</t>
    </r>
    <r>
      <rPr>
        <sz val="12"/>
        <color theme="1"/>
        <rFont val="Tahoma"/>
        <family val="2"/>
      </rPr>
      <t xml:space="preserve">
    2</t>
    </r>
    <r>
      <rPr>
        <sz val="12"/>
        <color theme="1"/>
        <rFont val="宋体"/>
        <family val="3"/>
        <charset val="134"/>
      </rPr>
      <t>，力矩校核详细步骤见附表</t>
    </r>
    <phoneticPr fontId="4" type="noConversion"/>
  </si>
  <si>
    <r>
      <rPr>
        <sz val="11"/>
        <color theme="1"/>
        <rFont val="宋体"/>
        <family val="3"/>
        <charset val="134"/>
      </rPr>
      <t>表</t>
    </r>
    <r>
      <rPr>
        <sz val="11"/>
        <color theme="1"/>
        <rFont val="Tahoma"/>
        <family val="2"/>
      </rPr>
      <t xml:space="preserve">1 </t>
    </r>
    <r>
      <rPr>
        <sz val="11"/>
        <color theme="1"/>
        <rFont val="宋体"/>
        <family val="3"/>
        <charset val="134"/>
      </rPr>
      <t>亚德客普通滑台气缸标准行程</t>
    </r>
    <phoneticPr fontId="4" type="noConversion"/>
  </si>
  <si>
    <r>
      <rPr>
        <sz val="11"/>
        <color theme="1"/>
        <rFont val="宋体"/>
        <family val="3"/>
        <charset val="134"/>
      </rPr>
      <t>负载偏心距</t>
    </r>
    <r>
      <rPr>
        <sz val="11"/>
        <color theme="1"/>
        <rFont val="Tahoma"/>
        <family val="2"/>
      </rPr>
      <t>I(mm)</t>
    </r>
    <phoneticPr fontId="4" type="noConversion"/>
  </si>
  <si>
    <r>
      <rPr>
        <sz val="11"/>
        <color theme="1"/>
        <rFont val="宋体"/>
        <family val="3"/>
        <charset val="134"/>
      </rPr>
      <t>竖直时≤</t>
    </r>
    <r>
      <rPr>
        <sz val="11"/>
        <color theme="1"/>
        <rFont val="Tahoma"/>
        <family val="2"/>
      </rPr>
      <t>1,</t>
    </r>
    <r>
      <rPr>
        <sz val="11"/>
        <color theme="1"/>
        <rFont val="宋体"/>
        <family val="3"/>
        <charset val="134"/>
      </rPr>
      <t>水平时≤</t>
    </r>
    <r>
      <rPr>
        <sz val="11"/>
        <color theme="1"/>
        <rFont val="Tahoma"/>
        <family val="2"/>
      </rPr>
      <t>0.5</t>
    </r>
    <phoneticPr fontId="4" type="noConversion"/>
  </si>
  <si>
    <t>HLH精密单轴</t>
  </si>
  <si>
    <t>附表 力矩校核过程</t>
    <phoneticPr fontId="4" type="noConversion"/>
  </si>
  <si>
    <r>
      <t>STW</t>
    </r>
    <r>
      <rPr>
        <sz val="11"/>
        <color theme="1"/>
        <rFont val="宋体"/>
        <family val="3"/>
        <charset val="134"/>
      </rPr>
      <t>双向
双轴</t>
    </r>
    <phoneticPr fontId="4" type="noConversion"/>
  </si>
  <si>
    <t>型号</t>
    <phoneticPr fontId="4" type="noConversion"/>
  </si>
  <si>
    <r>
      <t>STW</t>
    </r>
    <r>
      <rPr>
        <sz val="11"/>
        <color theme="1"/>
        <rFont val="宋体"/>
        <family val="3"/>
        <charset val="134"/>
      </rPr>
      <t>双轴气缸最小缸径</t>
    </r>
    <r>
      <rPr>
        <sz val="11"/>
        <color theme="1"/>
        <rFont val="Tahoma"/>
        <family val="2"/>
      </rPr>
      <t>D</t>
    </r>
    <phoneticPr fontId="4" type="noConversion"/>
  </si>
  <si>
    <r>
      <t>表3</t>
    </r>
    <r>
      <rPr>
        <sz val="11"/>
        <color theme="1"/>
        <rFont val="Tahoma"/>
        <family val="2"/>
      </rPr>
      <t xml:space="preserve"> STW</t>
    </r>
    <r>
      <rPr>
        <sz val="11"/>
        <color theme="1"/>
        <rFont val="宋体"/>
        <family val="3"/>
        <charset val="134"/>
      </rPr>
      <t>允许负载及选型图</t>
    </r>
    <phoneticPr fontId="4" type="noConversion"/>
  </si>
  <si>
    <r>
      <rPr>
        <sz val="11"/>
        <color theme="1"/>
        <rFont val="宋体"/>
        <family val="3"/>
        <charset val="134"/>
      </rPr>
      <t>表</t>
    </r>
    <r>
      <rPr>
        <sz val="11"/>
        <color theme="1"/>
        <rFont val="Tahoma"/>
        <family val="2"/>
      </rPr>
      <t>2 HLH</t>
    </r>
    <r>
      <rPr>
        <sz val="11"/>
        <color theme="1"/>
        <rFont val="宋体"/>
        <family val="3"/>
        <charset val="134"/>
      </rPr>
      <t>允许负载及选型图</t>
    </r>
    <r>
      <rPr>
        <sz val="11"/>
        <color theme="1"/>
        <rFont val="Tahoma"/>
        <family val="2"/>
      </rPr>
      <t>(HLF</t>
    </r>
    <r>
      <rPr>
        <sz val="11"/>
        <color theme="1"/>
        <rFont val="宋体"/>
        <family val="3"/>
        <charset val="134"/>
      </rPr>
      <t>可参考</t>
    </r>
    <r>
      <rPr>
        <sz val="11"/>
        <color theme="1"/>
        <rFont val="Tahoma"/>
        <family val="2"/>
      </rPr>
      <t>)</t>
    </r>
    <phoneticPr fontId="4" type="noConversion"/>
  </si>
  <si>
    <t>结合运行距离、最小缸径、要求动能和要求负载查表1、表2、表3</t>
    <phoneticPr fontId="4" type="noConversion"/>
  </si>
  <si>
    <r>
      <t>3</t>
    </r>
    <r>
      <rPr>
        <sz val="11"/>
        <color theme="1"/>
        <rFont val="宋体"/>
        <family val="3"/>
        <charset val="134"/>
      </rPr>
      <t>，力矩校核</t>
    </r>
    <r>
      <rPr>
        <sz val="11"/>
        <color theme="1"/>
        <rFont val="Tahoma"/>
        <family val="2"/>
      </rPr>
      <t xml:space="preserve">
  </t>
    </r>
    <phoneticPr fontId="4" type="noConversion"/>
  </si>
  <si>
    <r>
      <t>2</t>
    </r>
    <r>
      <rPr>
        <sz val="11"/>
        <color theme="1"/>
        <rFont val="宋体"/>
        <family val="3"/>
        <charset val="134"/>
      </rPr>
      <t xml:space="preserve">，动能与负载计
</t>
    </r>
    <r>
      <rPr>
        <sz val="11"/>
        <color theme="1"/>
        <rFont val="Tahoma"/>
        <family val="2"/>
      </rPr>
      <t xml:space="preserve">    </t>
    </r>
    <r>
      <rPr>
        <sz val="11"/>
        <color theme="1"/>
        <rFont val="宋体"/>
        <family val="3"/>
        <charset val="134"/>
      </rPr>
      <t xml:space="preserve">算及气缸选型
</t>
    </r>
    <r>
      <rPr>
        <sz val="11"/>
        <color theme="1"/>
        <rFont val="Tahoma"/>
        <family val="2"/>
      </rPr>
      <t xml:space="preserve">   </t>
    </r>
    <phoneticPr fontId="4" type="noConversion"/>
  </si>
  <si>
    <r>
      <rPr>
        <sz val="11"/>
        <color theme="1"/>
        <rFont val="宋体"/>
        <family val="3"/>
        <charset val="134"/>
      </rPr>
      <t>负载重心离轴高度</t>
    </r>
    <r>
      <rPr>
        <sz val="11"/>
        <color theme="1"/>
        <rFont val="Tahoma"/>
        <family val="2"/>
      </rPr>
      <t>L(mm)</t>
    </r>
    <phoneticPr fontId="4" type="noConversion"/>
  </si>
  <si>
    <t>允许动能Emax(J)</t>
    <phoneticPr fontId="4" type="noConversion"/>
  </si>
  <si>
    <r>
      <rPr>
        <sz val="11"/>
        <color theme="1"/>
        <rFont val="宋体"/>
        <family val="3"/>
        <charset val="134"/>
      </rPr>
      <t>夹持点离端面距离</t>
    </r>
    <r>
      <rPr>
        <sz val="11"/>
        <color theme="1"/>
        <rFont val="Tahoma"/>
        <family val="2"/>
      </rPr>
      <t>L(mm)</t>
    </r>
    <phoneticPr fontId="4" type="noConversion"/>
  </si>
  <si>
    <r>
      <rPr>
        <sz val="11"/>
        <color theme="1"/>
        <rFont val="宋体"/>
        <family val="3"/>
        <charset val="134"/>
      </rPr>
      <t>负载需最小夹持力</t>
    </r>
    <r>
      <rPr>
        <sz val="11"/>
        <color theme="1"/>
        <rFont val="Tahoma"/>
        <family val="2"/>
      </rPr>
      <t>F0(N)</t>
    </r>
    <phoneticPr fontId="4" type="noConversion"/>
  </si>
  <si>
    <r>
      <rPr>
        <sz val="11"/>
        <color theme="1"/>
        <rFont val="宋体"/>
        <family val="3"/>
        <charset val="134"/>
      </rPr>
      <t>安全系数</t>
    </r>
    <r>
      <rPr>
        <sz val="11"/>
        <color theme="1"/>
        <rFont val="Tahoma"/>
        <family val="2"/>
      </rPr>
      <t>a</t>
    </r>
    <phoneticPr fontId="4" type="noConversion"/>
  </si>
  <si>
    <r>
      <rPr>
        <sz val="11"/>
        <color theme="1"/>
        <rFont val="宋体"/>
        <family val="3"/>
        <charset val="134"/>
      </rPr>
      <t>常取</t>
    </r>
    <r>
      <rPr>
        <sz val="11"/>
        <color theme="1"/>
        <rFont val="Tahoma"/>
        <family val="2"/>
      </rPr>
      <t>4</t>
    </r>
    <phoneticPr fontId="4" type="noConversion"/>
  </si>
  <si>
    <t>HFZ/HFK复动型</t>
  </si>
  <si>
    <t>最小型号</t>
    <phoneticPr fontId="4" type="noConversion"/>
  </si>
  <si>
    <r>
      <t>1</t>
    </r>
    <r>
      <rPr>
        <sz val="11"/>
        <color theme="1"/>
        <rFont val="宋体"/>
        <family val="3"/>
        <charset val="134"/>
      </rPr>
      <t>，计算与选型</t>
    </r>
    <phoneticPr fontId="4" type="noConversion"/>
  </si>
  <si>
    <r>
      <rPr>
        <sz val="11"/>
        <color theme="1"/>
        <rFont val="宋体"/>
        <family val="3"/>
        <charset val="134"/>
      </rPr>
      <t>文档信息
编写：图惜
参考：《亚德客产品型录</t>
    </r>
    <r>
      <rPr>
        <sz val="11"/>
        <color theme="1"/>
        <rFont val="Tahoma"/>
        <family val="2"/>
      </rPr>
      <t>2018</t>
    </r>
    <r>
      <rPr>
        <sz val="11"/>
        <color theme="1"/>
        <rFont val="宋体"/>
        <family val="3"/>
        <charset val="134"/>
      </rPr>
      <t xml:space="preserve">》
</t>
    </r>
    <r>
      <rPr>
        <sz val="11"/>
        <color theme="1"/>
        <rFont val="Tahoma"/>
        <family val="2"/>
      </rPr>
      <t xml:space="preserve">         </t>
    </r>
    <r>
      <rPr>
        <sz val="11"/>
        <color theme="1"/>
        <rFont val="宋体"/>
        <family val="3"/>
        <charset val="134"/>
      </rPr>
      <t>《气动手指选型》</t>
    </r>
    <r>
      <rPr>
        <sz val="11"/>
        <color theme="1"/>
        <rFont val="Tahoma"/>
        <family val="2"/>
      </rPr>
      <t>——(</t>
    </r>
    <r>
      <rPr>
        <sz val="11"/>
        <color theme="1"/>
        <rFont val="宋体"/>
        <family val="3"/>
        <charset val="134"/>
      </rPr>
      <t>前桥教育</t>
    </r>
    <r>
      <rPr>
        <sz val="11"/>
        <color theme="1"/>
        <rFont val="Tahoma"/>
        <family val="2"/>
      </rPr>
      <t xml:space="preserve">) </t>
    </r>
    <r>
      <rPr>
        <sz val="11"/>
        <color theme="1"/>
        <rFont val="宋体"/>
        <family val="3"/>
        <charset val="134"/>
      </rPr>
      <t>宣言</t>
    </r>
    <r>
      <rPr>
        <sz val="11"/>
        <color theme="1"/>
        <rFont val="Tahoma"/>
        <family val="2"/>
      </rPr>
      <t xml:space="preserve"> 
                                                                                                 2018.8.12   </t>
    </r>
    <phoneticPr fontId="4" type="noConversion"/>
  </si>
  <si>
    <r>
      <rPr>
        <sz val="11"/>
        <color theme="1"/>
        <rFont val="宋体"/>
        <family val="3"/>
        <charset val="134"/>
      </rPr>
      <t>文档信息
编写：图惜
参考：《亚德客产品型录</t>
    </r>
    <r>
      <rPr>
        <sz val="11"/>
        <color theme="1"/>
        <rFont val="Tahoma"/>
        <family val="2"/>
      </rPr>
      <t>2018</t>
    </r>
    <r>
      <rPr>
        <sz val="11"/>
        <color theme="1"/>
        <rFont val="宋体"/>
        <family val="3"/>
        <charset val="134"/>
      </rPr>
      <t xml:space="preserve">》
</t>
    </r>
    <r>
      <rPr>
        <sz val="11"/>
        <color theme="1"/>
        <rFont val="Tahoma"/>
        <family val="2"/>
      </rPr>
      <t xml:space="preserve">         </t>
    </r>
    <r>
      <rPr>
        <sz val="11"/>
        <color theme="1"/>
        <rFont val="宋体"/>
        <family val="3"/>
        <charset val="134"/>
      </rPr>
      <t>《滑台气缸选型》</t>
    </r>
    <r>
      <rPr>
        <sz val="11"/>
        <color theme="1"/>
        <rFont val="Tahoma"/>
        <family val="2"/>
      </rPr>
      <t>——(</t>
    </r>
    <r>
      <rPr>
        <sz val="11"/>
        <color theme="1"/>
        <rFont val="宋体"/>
        <family val="3"/>
        <charset val="134"/>
      </rPr>
      <t>前桥教育</t>
    </r>
    <r>
      <rPr>
        <sz val="11"/>
        <color theme="1"/>
        <rFont val="Tahoma"/>
        <family val="2"/>
      </rPr>
      <t xml:space="preserve">) </t>
    </r>
    <r>
      <rPr>
        <sz val="11"/>
        <color theme="1"/>
        <rFont val="宋体"/>
        <family val="3"/>
        <charset val="134"/>
      </rPr>
      <t>宣言</t>
    </r>
    <r>
      <rPr>
        <sz val="11"/>
        <color theme="1"/>
        <rFont val="Tahoma"/>
        <family val="2"/>
      </rPr>
      <t xml:space="preserve"> 
                                                                                                 2018.8.12   </t>
    </r>
    <phoneticPr fontId="4" type="noConversion"/>
  </si>
  <si>
    <r>
      <rPr>
        <sz val="12"/>
        <color theme="1"/>
        <rFont val="宋体"/>
        <family val="3"/>
        <charset val="134"/>
      </rPr>
      <t>说明：</t>
    </r>
    <r>
      <rPr>
        <sz val="12"/>
        <color theme="1"/>
        <rFont val="Tahoma"/>
        <family val="2"/>
      </rPr>
      <t xml:space="preserve"> </t>
    </r>
    <r>
      <rPr>
        <sz val="12"/>
        <color theme="1"/>
        <rFont val="宋体"/>
        <family val="3"/>
        <charset val="134"/>
      </rPr>
      <t xml:space="preserve">
</t>
    </r>
    <r>
      <rPr>
        <sz val="12"/>
        <color theme="1"/>
        <rFont val="Tahoma"/>
        <family val="2"/>
      </rPr>
      <t xml:space="preserve">  1</t>
    </r>
    <r>
      <rPr>
        <sz val="12"/>
        <color theme="1"/>
        <rFont val="宋体"/>
        <family val="3"/>
        <charset val="134"/>
      </rPr>
      <t>，</t>
    </r>
    <r>
      <rPr>
        <sz val="12"/>
        <color theme="1"/>
        <rFont val="Tahoma"/>
        <family val="2"/>
      </rPr>
      <t>HLF</t>
    </r>
    <r>
      <rPr>
        <sz val="12"/>
        <color theme="1"/>
        <rFont val="宋体"/>
        <family val="3"/>
        <charset val="134"/>
      </rPr>
      <t>超薄单轴滑台气缸的允许负载力官方尚无数据，可参考</t>
    </r>
    <r>
      <rPr>
        <sz val="12"/>
        <color theme="1"/>
        <rFont val="Tahoma"/>
        <family val="2"/>
      </rPr>
      <t>HLH
  2</t>
    </r>
    <r>
      <rPr>
        <sz val="12"/>
        <color theme="1"/>
        <rFont val="宋体"/>
        <family val="3"/>
        <charset val="134"/>
      </rPr>
      <t>，</t>
    </r>
    <r>
      <rPr>
        <sz val="12"/>
        <color theme="1"/>
        <rFont val="Tahoma"/>
        <family val="2"/>
      </rPr>
      <t>HLF</t>
    </r>
    <r>
      <rPr>
        <sz val="12"/>
        <color theme="1"/>
        <rFont val="宋体"/>
        <family val="3"/>
        <charset val="134"/>
      </rPr>
      <t>和</t>
    </r>
    <r>
      <rPr>
        <sz val="12"/>
        <color theme="1"/>
        <rFont val="Tahoma"/>
        <family val="2"/>
      </rPr>
      <t>HLH</t>
    </r>
    <r>
      <rPr>
        <sz val="12"/>
        <color theme="1"/>
        <rFont val="宋体"/>
        <family val="3"/>
        <charset val="134"/>
      </rPr>
      <t>缓冲形式为固定缓冲</t>
    </r>
    <r>
      <rPr>
        <sz val="12"/>
        <color theme="1"/>
        <rFont val="Tahoma"/>
        <family val="2"/>
      </rPr>
      <t>(</t>
    </r>
    <r>
      <rPr>
        <sz val="12"/>
        <color theme="1"/>
        <rFont val="宋体"/>
        <family val="3"/>
        <charset val="134"/>
      </rPr>
      <t>螺丝调节</t>
    </r>
    <r>
      <rPr>
        <sz val="12"/>
        <color theme="1"/>
        <rFont val="Tahoma"/>
        <family val="2"/>
      </rPr>
      <t>)</t>
    </r>
    <r>
      <rPr>
        <sz val="12"/>
        <color theme="1"/>
        <rFont val="宋体"/>
        <family val="3"/>
        <charset val="134"/>
      </rPr>
      <t>，</t>
    </r>
    <r>
      <rPr>
        <sz val="12"/>
        <color theme="1"/>
        <rFont val="Tahoma"/>
        <family val="2"/>
      </rPr>
      <t>STW</t>
    </r>
    <r>
      <rPr>
        <sz val="12"/>
        <color theme="1"/>
        <rFont val="宋体"/>
        <family val="3"/>
        <charset val="134"/>
      </rPr>
      <t>为液压缓冲</t>
    </r>
    <r>
      <rPr>
        <sz val="12"/>
        <color theme="1"/>
        <rFont val="Tahoma"/>
        <family val="2"/>
      </rPr>
      <t>(</t>
    </r>
    <r>
      <rPr>
        <sz val="12"/>
        <color theme="1"/>
        <rFont val="宋体"/>
        <family val="3"/>
        <charset val="134"/>
      </rPr>
      <t>油压缓冲</t>
    </r>
    <r>
      <rPr>
        <sz val="12"/>
        <color theme="1"/>
        <rFont val="Tahoma"/>
        <family val="2"/>
      </rPr>
      <t xml:space="preserve">)
    </t>
    </r>
    <phoneticPr fontId="4" type="noConversion"/>
  </si>
  <si>
    <r>
      <rPr>
        <sz val="11"/>
        <color theme="1"/>
        <rFont val="宋体"/>
        <family val="3"/>
        <charset val="134"/>
      </rPr>
      <t>文档信息
编写：图惜
参考：《亚德客产品型录</t>
    </r>
    <r>
      <rPr>
        <sz val="11"/>
        <color theme="1"/>
        <rFont val="Tahoma"/>
        <family val="2"/>
      </rPr>
      <t>2018</t>
    </r>
    <r>
      <rPr>
        <sz val="11"/>
        <color theme="1"/>
        <rFont val="宋体"/>
        <family val="3"/>
        <charset val="134"/>
      </rPr>
      <t xml:space="preserve">》
</t>
    </r>
    <r>
      <rPr>
        <sz val="11"/>
        <color theme="1"/>
        <rFont val="Tahoma"/>
        <family val="2"/>
      </rPr>
      <t xml:space="preserve">         </t>
    </r>
    <r>
      <rPr>
        <sz val="11"/>
        <color theme="1"/>
        <rFont val="宋体"/>
        <family val="3"/>
        <charset val="134"/>
      </rPr>
      <t>《滑台气缸选型》</t>
    </r>
    <r>
      <rPr>
        <sz val="11"/>
        <color theme="1"/>
        <rFont val="Tahoma"/>
        <family val="2"/>
      </rPr>
      <t>——(</t>
    </r>
    <r>
      <rPr>
        <sz val="11"/>
        <color theme="1"/>
        <rFont val="宋体"/>
        <family val="3"/>
        <charset val="134"/>
      </rPr>
      <t>前桥教育</t>
    </r>
    <r>
      <rPr>
        <sz val="11"/>
        <color theme="1"/>
        <rFont val="Tahoma"/>
        <family val="2"/>
      </rPr>
      <t xml:space="preserve">) </t>
    </r>
    <r>
      <rPr>
        <sz val="11"/>
        <color theme="1"/>
        <rFont val="宋体"/>
        <family val="3"/>
        <charset val="134"/>
      </rPr>
      <t>宣言</t>
    </r>
    <r>
      <rPr>
        <sz val="11"/>
        <color theme="1"/>
        <rFont val="Tahoma"/>
        <family val="2"/>
      </rPr>
      <t xml:space="preserve">                                                                                                               
                                                                                          2018.8.12   </t>
    </r>
    <phoneticPr fontId="4" type="noConversion"/>
  </si>
  <si>
    <r>
      <rPr>
        <sz val="11"/>
        <color theme="1"/>
        <rFont val="宋体"/>
        <family val="3"/>
        <charset val="134"/>
      </rPr>
      <t>表</t>
    </r>
    <r>
      <rPr>
        <sz val="11"/>
        <color theme="1"/>
        <rFont val="Tahoma"/>
        <family val="2"/>
      </rPr>
      <t>1B</t>
    </r>
    <phoneticPr fontId="4" type="noConversion"/>
  </si>
  <si>
    <r>
      <t>HLQ</t>
    </r>
    <r>
      <rPr>
        <b/>
        <sz val="11"/>
        <color theme="0"/>
        <rFont val="宋体"/>
        <family val="3"/>
        <charset val="134"/>
      </rPr>
      <t xml:space="preserve">精密
双轴滚珠
</t>
    </r>
    <r>
      <rPr>
        <b/>
        <sz val="11"/>
        <color theme="0"/>
        <rFont val="Tahoma"/>
        <family val="2"/>
      </rPr>
      <t>HLS</t>
    </r>
    <r>
      <rPr>
        <b/>
        <sz val="11"/>
        <color theme="0"/>
        <rFont val="宋体"/>
        <family val="3"/>
        <charset val="134"/>
      </rPr>
      <t>精密
双轴滚柱</t>
    </r>
    <phoneticPr fontId="4" type="noConversion"/>
  </si>
  <si>
    <r>
      <rPr>
        <b/>
        <sz val="11"/>
        <color theme="0"/>
        <rFont val="宋体"/>
        <family val="3"/>
        <charset val="134"/>
      </rPr>
      <t>允许负载</t>
    </r>
    <r>
      <rPr>
        <b/>
        <sz val="11"/>
        <color theme="0"/>
        <rFont val="Tahoma"/>
        <family val="2"/>
      </rPr>
      <t>Wmax(N)</t>
    </r>
    <phoneticPr fontId="4" type="noConversion"/>
  </si>
  <si>
    <t>调节螺丝</t>
    <phoneticPr fontId="4" type="noConversion"/>
  </si>
  <si>
    <t>液压缓冲</t>
    <phoneticPr fontId="4" type="noConversion"/>
  </si>
  <si>
    <t>选型图</t>
    <phoneticPr fontId="4" type="noConversion"/>
  </si>
  <si>
    <r>
      <rPr>
        <sz val="11"/>
        <color theme="1"/>
        <rFont val="宋体"/>
        <family val="3"/>
        <charset val="134"/>
      </rPr>
      <t>气缸缸径</t>
    </r>
    <r>
      <rPr>
        <sz val="11"/>
        <color theme="1"/>
        <rFont val="Tahoma"/>
        <family val="2"/>
      </rPr>
      <t>D(mm)</t>
    </r>
    <phoneticPr fontId="4" type="noConversion"/>
  </si>
  <si>
    <r>
      <rPr>
        <sz val="11"/>
        <color theme="1"/>
        <rFont val="宋体"/>
        <family val="3"/>
        <charset val="134"/>
      </rPr>
      <t>最大速度</t>
    </r>
    <r>
      <rPr>
        <sz val="11"/>
        <color theme="1"/>
        <rFont val="Tahoma"/>
        <family val="2"/>
      </rPr>
      <t>Vmax(mm/s)</t>
    </r>
    <phoneticPr fontId="4" type="noConversion"/>
  </si>
  <si>
    <r>
      <rPr>
        <sz val="11"/>
        <color theme="1"/>
        <rFont val="宋体"/>
        <family val="3"/>
        <charset val="134"/>
      </rPr>
      <t>气缸进气压力</t>
    </r>
    <r>
      <rPr>
        <sz val="11"/>
        <color theme="1"/>
        <rFont val="Tahoma"/>
        <family val="2"/>
      </rPr>
      <t>P2(MPa)</t>
    </r>
    <phoneticPr fontId="4" type="noConversion"/>
  </si>
  <si>
    <r>
      <rPr>
        <sz val="11"/>
        <color theme="1"/>
        <rFont val="宋体"/>
        <family val="3"/>
        <charset val="134"/>
      </rPr>
      <t>电磁阀进气压力</t>
    </r>
    <r>
      <rPr>
        <sz val="11"/>
        <color theme="1"/>
        <rFont val="Tahoma"/>
        <family val="2"/>
      </rPr>
      <t>P(MPa)</t>
    </r>
    <phoneticPr fontId="4" type="noConversion"/>
  </si>
  <si>
    <r>
      <rPr>
        <sz val="11"/>
        <color theme="1"/>
        <rFont val="宋体"/>
        <family val="3"/>
        <charset val="134"/>
      </rPr>
      <t>压力降△</t>
    </r>
    <r>
      <rPr>
        <sz val="11"/>
        <color theme="1"/>
        <rFont val="Tahoma"/>
        <family val="2"/>
      </rPr>
      <t>P(MPa)</t>
    </r>
    <phoneticPr fontId="4" type="noConversion"/>
  </si>
  <si>
    <r>
      <rPr>
        <sz val="11"/>
        <color theme="1"/>
        <rFont val="宋体"/>
        <family val="3"/>
        <charset val="134"/>
      </rPr>
      <t>最低流通能力</t>
    </r>
    <r>
      <rPr>
        <sz val="11"/>
        <color theme="1"/>
        <rFont val="Tahoma"/>
        <family val="2"/>
      </rPr>
      <t>Cv</t>
    </r>
    <phoneticPr fontId="4" type="noConversion"/>
  </si>
  <si>
    <t>配管内径d(mm)</t>
    <phoneticPr fontId="4" type="noConversion"/>
  </si>
  <si>
    <t>配管长度Ld(mm)</t>
    <phoneticPr fontId="4" type="noConversion"/>
  </si>
  <si>
    <t>平均耗气量Qca</t>
    <phoneticPr fontId="4" type="noConversion"/>
  </si>
  <si>
    <t>用于选空压机</t>
    <phoneticPr fontId="4" type="noConversion"/>
  </si>
  <si>
    <t>计算公式(注意单位换算)</t>
    <phoneticPr fontId="4" type="noConversion"/>
  </si>
  <si>
    <t>可估算为2倍平均速度</t>
    <phoneticPr fontId="4" type="noConversion"/>
  </si>
  <si>
    <r>
      <rPr>
        <sz val="11"/>
        <color theme="1"/>
        <rFont val="宋体"/>
        <family val="3"/>
        <charset val="134"/>
      </rPr>
      <t>根据</t>
    </r>
    <r>
      <rPr>
        <sz val="11"/>
        <color theme="1"/>
        <rFont val="Tahoma"/>
        <family val="2"/>
      </rPr>
      <t>Cv</t>
    </r>
    <r>
      <rPr>
        <sz val="11"/>
        <color theme="1"/>
        <rFont val="宋体"/>
        <family val="3"/>
        <charset val="134"/>
      </rPr>
      <t>或</t>
    </r>
    <r>
      <rPr>
        <sz val="11"/>
        <color theme="1"/>
        <rFont val="Tahoma"/>
        <family val="2"/>
      </rPr>
      <t>S</t>
    </r>
    <r>
      <rPr>
        <sz val="11"/>
        <color theme="1"/>
        <rFont val="宋体"/>
        <family val="3"/>
        <charset val="134"/>
      </rPr>
      <t>查厂家样本，要求电磁阀</t>
    </r>
    <r>
      <rPr>
        <sz val="11"/>
        <color theme="1"/>
        <rFont val="Tahoma"/>
        <family val="2"/>
      </rPr>
      <t>/</t>
    </r>
    <r>
      <rPr>
        <sz val="11"/>
        <color theme="1"/>
        <rFont val="宋体"/>
        <family val="3"/>
        <charset val="134"/>
      </rPr>
      <t>节流阀允许流通量</t>
    </r>
    <r>
      <rPr>
        <sz val="11"/>
        <color theme="1"/>
        <rFont val="Tahoma"/>
        <family val="2"/>
      </rPr>
      <t>(</t>
    </r>
    <r>
      <rPr>
        <sz val="11"/>
        <color theme="1"/>
        <rFont val="宋体"/>
        <family val="3"/>
        <charset val="134"/>
      </rPr>
      <t>或允许流通面积必须</t>
    </r>
    <r>
      <rPr>
        <sz val="11"/>
        <color theme="1"/>
        <rFont val="Tahoma"/>
        <family val="2"/>
      </rPr>
      <t>)</t>
    </r>
    <r>
      <rPr>
        <sz val="11"/>
        <color theme="1"/>
        <rFont val="宋体"/>
        <family val="3"/>
        <charset val="134"/>
      </rPr>
      <t>≥计算值</t>
    </r>
    <phoneticPr fontId="4" type="noConversion"/>
  </si>
  <si>
    <t>SMC电磁阀样本截图</t>
    <phoneticPr fontId="4" type="noConversion"/>
  </si>
  <si>
    <r>
      <rPr>
        <sz val="11"/>
        <color theme="1"/>
        <rFont val="宋体"/>
        <family val="3"/>
        <charset val="134"/>
      </rPr>
      <t>最小流通面积</t>
    </r>
    <r>
      <rPr>
        <sz val="11"/>
        <color theme="1"/>
        <rFont val="Tahoma"/>
        <family val="2"/>
      </rPr>
      <t>S(mm²)</t>
    </r>
    <phoneticPr fontId="4" type="noConversion"/>
  </si>
  <si>
    <r>
      <rPr>
        <sz val="11"/>
        <color theme="1"/>
        <rFont val="宋体"/>
        <family val="3"/>
        <charset val="134"/>
      </rPr>
      <t>气缸工作频率</t>
    </r>
    <r>
      <rPr>
        <sz val="11"/>
        <color theme="1"/>
        <rFont val="Tahoma"/>
        <family val="2"/>
      </rPr>
      <t>(</t>
    </r>
    <r>
      <rPr>
        <sz val="11"/>
        <color theme="1"/>
        <rFont val="宋体"/>
        <family val="3"/>
        <charset val="134"/>
      </rPr>
      <t>次</t>
    </r>
    <r>
      <rPr>
        <sz val="11"/>
        <color theme="1"/>
        <rFont val="Tahoma"/>
        <family val="2"/>
      </rPr>
      <t>/min)</t>
    </r>
    <phoneticPr fontId="4" type="noConversion"/>
  </si>
  <si>
    <r>
      <t>SMC</t>
    </r>
    <r>
      <rPr>
        <sz val="11"/>
        <color theme="1"/>
        <rFont val="宋体"/>
        <family val="3"/>
        <charset val="134"/>
      </rPr>
      <t>节流阀样本截图</t>
    </r>
    <phoneticPr fontId="4" type="noConversion"/>
  </si>
  <si>
    <r>
      <t>55°</t>
    </r>
    <r>
      <rPr>
        <sz val="11"/>
        <color rgb="FFFF0000"/>
        <rFont val="宋体"/>
        <family val="3"/>
        <charset val="134"/>
      </rPr>
      <t>密封螺纹</t>
    </r>
    <phoneticPr fontId="4" type="noConversion"/>
  </si>
  <si>
    <r>
      <t>55°</t>
    </r>
    <r>
      <rPr>
        <sz val="11"/>
        <color rgb="FFFF0000"/>
        <rFont val="宋体"/>
        <family val="3"/>
        <charset val="134"/>
      </rPr>
      <t>非密封螺纹</t>
    </r>
    <phoneticPr fontId="4" type="noConversion"/>
  </si>
  <si>
    <r>
      <t>60°</t>
    </r>
    <r>
      <rPr>
        <sz val="11"/>
        <color rgb="FFFF0000"/>
        <rFont val="宋体"/>
        <family val="3"/>
        <charset val="134"/>
      </rPr>
      <t>螺纹</t>
    </r>
    <phoneticPr fontId="4" type="noConversion"/>
  </si>
  <si>
    <r>
      <rPr>
        <sz val="11"/>
        <color theme="1"/>
        <rFont val="宋体"/>
        <family val="3"/>
        <charset val="134"/>
      </rPr>
      <t>附表</t>
    </r>
    <r>
      <rPr>
        <sz val="11"/>
        <color theme="1"/>
        <rFont val="Tahoma"/>
        <family val="2"/>
        <charset val="134"/>
      </rPr>
      <t xml:space="preserve"> </t>
    </r>
    <r>
      <rPr>
        <sz val="11"/>
        <color theme="1"/>
        <rFont val="宋体"/>
        <family val="3"/>
        <charset val="134"/>
      </rPr>
      <t>钻底孔直径</t>
    </r>
    <phoneticPr fontId="4" type="noConversion"/>
  </si>
  <si>
    <t>管螺纹尺寸对照</t>
    <phoneticPr fontId="4" type="noConversion"/>
  </si>
  <si>
    <r>
      <t>DN(</t>
    </r>
    <r>
      <rPr>
        <sz val="11"/>
        <color theme="1"/>
        <rFont val="宋体"/>
        <family val="3"/>
        <charset val="134"/>
      </rPr>
      <t>公制</t>
    </r>
    <r>
      <rPr>
        <sz val="11"/>
        <color theme="1"/>
        <rFont val="Tahoma"/>
        <family val="2"/>
        <charset val="134"/>
      </rPr>
      <t>)</t>
    </r>
    <r>
      <rPr>
        <sz val="11"/>
        <color theme="1"/>
        <rFont val="宋体"/>
        <family val="3"/>
        <charset val="134"/>
      </rPr>
      <t>既不是内径更不是外径，接近于内径</t>
    </r>
    <phoneticPr fontId="4" type="noConversion"/>
  </si>
  <si>
    <r>
      <t>2</t>
    </r>
    <r>
      <rPr>
        <sz val="11"/>
        <color theme="1"/>
        <rFont val="宋体"/>
        <family val="3"/>
        <charset val="134"/>
      </rPr>
      <t>，动能与负载计</t>
    </r>
    <r>
      <rPr>
        <sz val="11"/>
        <color theme="1"/>
        <rFont val="Tahoma"/>
        <family val="2"/>
      </rPr>
      <t xml:space="preserve"> 
     </t>
    </r>
    <r>
      <rPr>
        <sz val="11"/>
        <color theme="1"/>
        <rFont val="宋体"/>
        <family val="3"/>
        <charset val="134"/>
      </rPr>
      <t xml:space="preserve">算及气缸选型
</t>
    </r>
    <r>
      <rPr>
        <sz val="11"/>
        <color theme="1"/>
        <rFont val="Tahoma"/>
        <family val="2"/>
      </rPr>
      <t xml:space="preserve">     </t>
    </r>
    <phoneticPr fontId="4" type="noConversion"/>
  </si>
  <si>
    <t>亚德客减压阀样本截图(实际进气压P0不是0.7时按(P0+0.1)/(0.7+0.1)插值)</t>
    <phoneticPr fontId="4" type="noConversion"/>
  </si>
  <si>
    <t>电磁阀型号</t>
    <phoneticPr fontId="4" type="noConversion"/>
  </si>
  <si>
    <t>节流阀型号</t>
    <phoneticPr fontId="4" type="noConversion"/>
  </si>
  <si>
    <r>
      <rPr>
        <sz val="11"/>
        <color theme="1"/>
        <rFont val="宋体"/>
        <family val="3"/>
        <charset val="134"/>
      </rPr>
      <t>减压阀进气压</t>
    </r>
    <r>
      <rPr>
        <sz val="11"/>
        <color theme="1"/>
        <rFont val="Tahoma"/>
        <family val="2"/>
      </rPr>
      <t>P0(MPa)</t>
    </r>
    <phoneticPr fontId="4" type="noConversion"/>
  </si>
  <si>
    <r>
      <rPr>
        <sz val="11"/>
        <color theme="1"/>
        <rFont val="宋体"/>
        <family val="3"/>
        <charset val="134"/>
      </rPr>
      <t>最大耗气量</t>
    </r>
    <r>
      <rPr>
        <sz val="11"/>
        <color theme="1"/>
        <rFont val="Tahoma"/>
        <family val="2"/>
      </rPr>
      <t>Qmax(L/min)</t>
    </r>
    <phoneticPr fontId="4" type="noConversion"/>
  </si>
  <si>
    <r>
      <rPr>
        <sz val="11"/>
        <color theme="1"/>
        <rFont val="宋体"/>
        <family val="3"/>
        <charset val="134"/>
      </rPr>
      <t>所有气缸</t>
    </r>
    <r>
      <rPr>
        <sz val="11"/>
        <color theme="1"/>
        <rFont val="Tahoma"/>
        <family val="2"/>
      </rPr>
      <t>Qmax</t>
    </r>
    <r>
      <rPr>
        <sz val="11"/>
        <color theme="1"/>
        <rFont val="宋体"/>
        <family val="3"/>
        <charset val="134"/>
      </rPr>
      <t>之和</t>
    </r>
    <phoneticPr fontId="4" type="noConversion"/>
  </si>
  <si>
    <r>
      <rPr>
        <sz val="11"/>
        <color theme="1"/>
        <rFont val="宋体"/>
        <family val="3"/>
        <charset val="134"/>
      </rPr>
      <t>所需总流量</t>
    </r>
    <r>
      <rPr>
        <sz val="11"/>
        <color theme="1"/>
        <rFont val="Tahoma"/>
        <family val="2"/>
      </rPr>
      <t>Q(L/min)</t>
    </r>
    <phoneticPr fontId="4" type="noConversion"/>
  </si>
  <si>
    <t>所需减压阀流量(L/min)</t>
    <phoneticPr fontId="4" type="noConversion"/>
  </si>
  <si>
    <t>减压阀型号</t>
    <phoneticPr fontId="4" type="noConversion"/>
  </si>
  <si>
    <t>查看样本</t>
    <phoneticPr fontId="4" type="noConversion"/>
  </si>
  <si>
    <r>
      <t>1</t>
    </r>
    <r>
      <rPr>
        <sz val="11"/>
        <color theme="1"/>
        <rFont val="宋体"/>
        <family val="3"/>
        <charset val="134"/>
      </rPr>
      <t>，计算耗流量</t>
    </r>
    <phoneticPr fontId="4" type="noConversion"/>
  </si>
  <si>
    <t>4，平均耗气量
   计算(选做)</t>
    <phoneticPr fontId="4" type="noConversion"/>
  </si>
  <si>
    <r>
      <rPr>
        <sz val="11"/>
        <color theme="1"/>
        <rFont val="宋体"/>
        <family val="3"/>
        <charset val="134"/>
      </rPr>
      <t>减压阀出气压</t>
    </r>
    <r>
      <rPr>
        <sz val="11"/>
        <color theme="1"/>
        <rFont val="Tahoma"/>
        <family val="2"/>
      </rPr>
      <t>P(MPa)</t>
    </r>
    <phoneticPr fontId="4" type="noConversion"/>
  </si>
  <si>
    <t>即电磁阀进气压</t>
    <phoneticPr fontId="4" type="noConversion"/>
  </si>
  <si>
    <t>GR200</t>
    <phoneticPr fontId="4" type="noConversion"/>
  </si>
  <si>
    <r>
      <rPr>
        <sz val="11"/>
        <color theme="1"/>
        <rFont val="宋体"/>
        <family val="3"/>
        <charset val="134"/>
      </rPr>
      <t>已换算到</t>
    </r>
    <r>
      <rPr>
        <sz val="11"/>
        <color theme="1"/>
        <rFont val="Tahoma"/>
        <family val="2"/>
      </rPr>
      <t>P0=0.7MPa</t>
    </r>
    <phoneticPr fontId="4" type="noConversion"/>
  </si>
  <si>
    <r>
      <rPr>
        <sz val="12"/>
        <color theme="1"/>
        <rFont val="宋体"/>
        <family val="3"/>
        <charset val="134"/>
      </rPr>
      <t>文档信息
编写：图惜
参考：《耗气量计算与电磁阀选用》</t>
    </r>
    <r>
      <rPr>
        <sz val="12"/>
        <color theme="1"/>
        <rFont val="Tahoma"/>
        <family val="2"/>
      </rPr>
      <t>——(</t>
    </r>
    <r>
      <rPr>
        <sz val="12"/>
        <color theme="1"/>
        <rFont val="宋体"/>
        <family val="3"/>
        <charset val="134"/>
      </rPr>
      <t>前桥教育</t>
    </r>
    <r>
      <rPr>
        <sz val="12"/>
        <color theme="1"/>
        <rFont val="Tahoma"/>
        <family val="2"/>
      </rPr>
      <t xml:space="preserve">) </t>
    </r>
    <r>
      <rPr>
        <sz val="12"/>
        <color theme="1"/>
        <rFont val="宋体"/>
        <family val="3"/>
        <charset val="134"/>
      </rPr>
      <t>宣言</t>
    </r>
    <r>
      <rPr>
        <sz val="12"/>
        <color theme="1"/>
        <rFont val="Tahoma"/>
        <family val="2"/>
      </rPr>
      <t xml:space="preserve">                                                                                                
                                                                              2018.8.13   </t>
    </r>
    <phoneticPr fontId="4" type="noConversion"/>
  </si>
  <si>
    <t>此气缸平均耗气量</t>
    <phoneticPr fontId="4" type="noConversion"/>
  </si>
  <si>
    <r>
      <rPr>
        <sz val="11"/>
        <color theme="1"/>
        <rFont val="宋体"/>
        <family val="3"/>
        <charset val="134"/>
      </rPr>
      <t>总平均耗气量</t>
    </r>
    <r>
      <rPr>
        <sz val="11"/>
        <color theme="1"/>
        <rFont val="Tahoma"/>
        <family val="2"/>
      </rPr>
      <t>Qca</t>
    </r>
    <phoneticPr fontId="4" type="noConversion"/>
  </si>
  <si>
    <t>条件</t>
  </si>
  <si>
    <t>符号</t>
  </si>
  <si>
    <t>数值</t>
  </si>
  <si>
    <t>备注</t>
  </si>
  <si>
    <t>已知invθ的值</t>
  </si>
  <si>
    <t>invθ=</t>
  </si>
  <si>
    <t>请尽量精确</t>
  </si>
  <si>
    <t>反解θ角度值(°)</t>
  </si>
  <si>
    <t>θ=</t>
  </si>
  <si>
    <t>验证(可不做)</t>
  </si>
  <si>
    <t>令α=</t>
  </si>
  <si>
    <r>
      <t>0~90°全域已经过验证，误差＜10</t>
    </r>
    <r>
      <rPr>
        <vertAlign val="superscript"/>
        <sz val="12"/>
        <color theme="1"/>
        <rFont val="微软雅黑"/>
        <family val="2"/>
        <charset val="134"/>
      </rPr>
      <t>-6</t>
    </r>
    <r>
      <rPr>
        <sz val="12"/>
        <color theme="1"/>
        <rFont val="微软雅黑"/>
        <family val="2"/>
        <charset val="134"/>
      </rPr>
      <t>°</t>
    </r>
  </si>
  <si>
    <t>求得invα=</t>
  </si>
  <si>
    <t>误差值=</t>
  </si>
  <si>
    <t xml:space="preserve">                                               </t>
  </si>
  <si>
    <t xml:space="preserve">文档信息
编写：图惜
参考：《反渐开线函数的综合解算方法》——沈守范
                                                                                                2018.8.8  
</t>
    <phoneticPr fontId="4" type="noConversion"/>
  </si>
  <si>
    <r>
      <t>SMC</t>
    </r>
    <r>
      <rPr>
        <sz val="11"/>
        <color theme="1"/>
        <rFont val="宋体"/>
        <family val="3"/>
        <charset val="134"/>
      </rPr>
      <t>三联件</t>
    </r>
    <phoneticPr fontId="4" type="noConversion"/>
  </si>
  <si>
    <r>
      <t>SMC</t>
    </r>
    <r>
      <rPr>
        <sz val="11"/>
        <color theme="1"/>
        <rFont val="宋体"/>
        <family val="3"/>
        <charset val="134"/>
      </rPr>
      <t>减压阀</t>
    </r>
    <phoneticPr fontId="4" type="noConversion"/>
  </si>
  <si>
    <r>
      <t>3</t>
    </r>
    <r>
      <rPr>
        <sz val="11"/>
        <color theme="1"/>
        <rFont val="宋体"/>
        <family val="3"/>
        <charset val="134"/>
      </rPr>
      <t xml:space="preserve">，减压阀或三
</t>
    </r>
    <r>
      <rPr>
        <sz val="11"/>
        <color theme="1"/>
        <rFont val="Tahoma"/>
        <family val="2"/>
      </rPr>
      <t xml:space="preserve">    </t>
    </r>
    <r>
      <rPr>
        <sz val="11"/>
        <color theme="1"/>
        <rFont val="宋体"/>
        <family val="3"/>
        <charset val="134"/>
      </rPr>
      <t>联件选型</t>
    </r>
    <phoneticPr fontId="4" type="noConversion"/>
  </si>
  <si>
    <t>三联件型号</t>
    <phoneticPr fontId="4" type="noConversion"/>
  </si>
  <si>
    <r>
      <rPr>
        <sz val="11"/>
        <color theme="1"/>
        <rFont val="宋体"/>
        <family val="3"/>
        <charset val="134"/>
      </rPr>
      <t>气缸行程</t>
    </r>
    <r>
      <rPr>
        <sz val="11"/>
        <color theme="1"/>
        <rFont val="Tahoma"/>
        <family val="2"/>
      </rPr>
      <t>L(mm)</t>
    </r>
    <phoneticPr fontId="4" type="noConversion"/>
  </si>
  <si>
    <t>所需配管最小内径(mm)</t>
    <phoneticPr fontId="4" type="noConversion"/>
  </si>
  <si>
    <r>
      <t>2</t>
    </r>
    <r>
      <rPr>
        <sz val="11"/>
        <color theme="1"/>
        <rFont val="宋体"/>
        <family val="3"/>
        <charset val="134"/>
      </rPr>
      <t xml:space="preserve">，配管内径、
</t>
    </r>
    <r>
      <rPr>
        <sz val="11"/>
        <color theme="1"/>
        <rFont val="Tahoma"/>
        <family val="2"/>
      </rPr>
      <t xml:space="preserve">    </t>
    </r>
    <r>
      <rPr>
        <sz val="11"/>
        <color theme="1"/>
        <rFont val="宋体"/>
        <family val="3"/>
        <charset val="134"/>
      </rPr>
      <t xml:space="preserve">电磁阀与节
</t>
    </r>
    <r>
      <rPr>
        <sz val="11"/>
        <color theme="1"/>
        <rFont val="Tahoma"/>
        <family val="2"/>
      </rPr>
      <t xml:space="preserve">    </t>
    </r>
    <r>
      <rPr>
        <sz val="11"/>
        <color theme="1"/>
        <rFont val="宋体"/>
        <family val="3"/>
        <charset val="134"/>
      </rPr>
      <t>流阀选型</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</si>
  <si>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，最大耗气量用于选定控制阀、空气处理元件及配管尺寸，平均耗气量用于选用空压机、计算运行成本，平均耗气量与最大耗气量之差用于选定气罐容积；</t>
    </r>
    <r>
      <rPr>
        <sz val="11"/>
        <color theme="1"/>
        <rFont val="Tahoma"/>
        <family val="2"/>
      </rPr>
      <t xml:space="preserve">
    2</t>
    </r>
    <r>
      <rPr>
        <sz val="11"/>
        <color theme="1"/>
        <rFont val="宋体"/>
        <family val="3"/>
        <charset val="134"/>
      </rPr>
      <t>，一个电磁阀控制一个气缸可以只通过气管管径选用，一个电磁阀控制多个气缸需要算</t>
    </r>
    <r>
      <rPr>
        <sz val="11"/>
        <color theme="1"/>
        <rFont val="Tahoma"/>
        <family val="2"/>
      </rPr>
      <t>Cv</t>
    </r>
    <r>
      <rPr>
        <sz val="11"/>
        <color theme="1"/>
        <rFont val="宋体"/>
        <family val="3"/>
        <charset val="134"/>
      </rPr>
      <t>和</t>
    </r>
    <r>
      <rPr>
        <sz val="11"/>
        <color theme="1"/>
        <rFont val="Tahoma"/>
        <family val="2"/>
      </rPr>
      <t>S</t>
    </r>
    <r>
      <rPr>
        <sz val="11"/>
        <color theme="1"/>
        <rFont val="宋体"/>
        <family val="3"/>
        <charset val="134"/>
      </rPr>
      <t xml:space="preserve">；
</t>
    </r>
    <r>
      <rPr>
        <sz val="11"/>
        <color theme="1"/>
        <rFont val="Tahoma"/>
        <family val="2"/>
      </rPr>
      <t xml:space="preserve">    3</t>
    </r>
    <r>
      <rPr>
        <sz val="11"/>
        <color theme="1"/>
        <rFont val="宋体"/>
        <family val="3"/>
        <charset val="134"/>
      </rPr>
      <t>，</t>
    </r>
    <r>
      <rPr>
        <sz val="11"/>
        <color rgb="FFFF0000"/>
        <rFont val="宋体"/>
        <family val="3"/>
        <charset val="134"/>
      </rPr>
      <t>直动电磁阀相比较先导的启动速度快</t>
    </r>
    <r>
      <rPr>
        <sz val="11"/>
        <color theme="1"/>
        <rFont val="宋体"/>
        <family val="3"/>
        <charset val="134"/>
      </rPr>
      <t>，如果用于快速切断的话，建议用直动式的，此外</t>
    </r>
    <r>
      <rPr>
        <sz val="11"/>
        <color rgb="FFFF0000"/>
        <rFont val="宋体"/>
        <family val="3"/>
        <charset val="134"/>
      </rPr>
      <t>先导的相比于直动的流通能力要大些</t>
    </r>
    <r>
      <rPr>
        <sz val="11"/>
        <color theme="1"/>
        <rFont val="宋体"/>
        <family val="3"/>
        <charset val="134"/>
      </rPr>
      <t>，一般</t>
    </r>
    <r>
      <rPr>
        <sz val="11"/>
        <color theme="1"/>
        <rFont val="Tahoma"/>
        <family val="2"/>
      </rPr>
      <t>Cv</t>
    </r>
    <r>
      <rPr>
        <sz val="11"/>
        <color theme="1"/>
        <rFont val="宋体"/>
        <family val="3"/>
        <charset val="134"/>
      </rPr>
      <t>至可以达到</t>
    </r>
    <r>
      <rPr>
        <sz val="11"/>
        <color theme="1"/>
        <rFont val="Tahoma"/>
        <family val="2"/>
      </rPr>
      <t>3</t>
    </r>
    <r>
      <rPr>
        <sz val="11"/>
        <color theme="1"/>
        <rFont val="宋体"/>
        <family val="3"/>
        <charset val="134"/>
      </rPr>
      <t>以上，而直动的一般</t>
    </r>
    <r>
      <rPr>
        <sz val="11"/>
        <color theme="1"/>
        <rFont val="Tahoma"/>
        <family val="2"/>
      </rPr>
      <t>Cv</t>
    </r>
    <r>
      <rPr>
        <sz val="11"/>
        <color theme="1"/>
        <rFont val="宋体"/>
        <family val="3"/>
        <charset val="134"/>
      </rPr>
      <t>至都小于</t>
    </r>
    <r>
      <rPr>
        <sz val="11"/>
        <color theme="1"/>
        <rFont val="Tahoma"/>
        <family val="2"/>
      </rPr>
      <t>1</t>
    </r>
    <r>
      <rPr>
        <sz val="11"/>
        <color theme="1"/>
        <rFont val="宋体"/>
        <family val="3"/>
        <charset val="134"/>
      </rPr>
      <t>。直动电磁阀是</t>
    </r>
    <r>
      <rPr>
        <sz val="11"/>
        <color theme="1"/>
        <rFont val="Tahoma"/>
        <family val="2"/>
      </rPr>
      <t>0</t>
    </r>
    <r>
      <rPr>
        <sz val="11"/>
        <color theme="1"/>
        <rFont val="宋体"/>
        <family val="3"/>
        <charset val="134"/>
      </rPr>
      <t>压启动，而先导的必须有先导压力，一般在</t>
    </r>
    <r>
      <rPr>
        <sz val="11"/>
        <color theme="1"/>
        <rFont val="Tahoma"/>
        <family val="2"/>
      </rPr>
      <t>2bar</t>
    </r>
    <r>
      <rPr>
        <sz val="11"/>
        <color theme="1"/>
        <rFont val="宋体"/>
        <family val="3"/>
        <charset val="134"/>
      </rPr>
      <t xml:space="preserve">左右。直动的功率要比先导的大，先导的对压缩空气的纯净度要求较高，直动的就没有那么严格了。先导式流通能力大、换向冲击小、寿命长，应用更广泛；
</t>
    </r>
    <r>
      <rPr>
        <sz val="11"/>
        <color theme="1"/>
        <rFont val="Tahoma"/>
        <family val="2"/>
      </rPr>
      <t xml:space="preserve">    4</t>
    </r>
    <r>
      <rPr>
        <sz val="11"/>
        <color theme="1"/>
        <rFont val="宋体"/>
        <family val="3"/>
        <charset val="134"/>
      </rPr>
      <t>，减压阀也可以只根据连接螺纹管径选择。在使用减压阀时，最好使</t>
    </r>
    <r>
      <rPr>
        <sz val="11"/>
        <color theme="1"/>
        <rFont val="Tahoma"/>
        <family val="2"/>
      </rPr>
      <t xml:space="preserve">  </t>
    </r>
    <r>
      <rPr>
        <sz val="11"/>
        <color theme="1"/>
        <rFont val="宋体"/>
        <family val="3"/>
        <charset val="134"/>
      </rPr>
      <t>用上限值的</t>
    </r>
    <r>
      <rPr>
        <sz val="11"/>
        <color theme="1"/>
        <rFont val="Tahoma"/>
        <family val="2"/>
      </rPr>
      <t>30%-80%</t>
    </r>
    <r>
      <rPr>
        <sz val="11"/>
        <color theme="1"/>
        <rFont val="宋体"/>
        <family val="3"/>
        <charset val="134"/>
      </rPr>
      <t>，并应当选用符合这个调压范围的压力表，压力表读数应超过上限值的</t>
    </r>
    <r>
      <rPr>
        <sz val="11"/>
        <color theme="1"/>
        <rFont val="Tahoma"/>
        <family val="2"/>
      </rPr>
      <t>20%</t>
    </r>
    <r>
      <rPr>
        <sz val="11"/>
        <color theme="1"/>
        <rFont val="宋体"/>
        <family val="3"/>
        <charset val="134"/>
      </rPr>
      <t xml:space="preserve">。
</t>
    </r>
    <r>
      <rPr>
        <sz val="11"/>
        <color theme="1"/>
        <rFont val="Tahoma"/>
        <family val="2"/>
      </rPr>
      <t xml:space="preserve">    5</t>
    </r>
    <r>
      <rPr>
        <sz val="11"/>
        <color theme="1"/>
        <rFont val="宋体"/>
        <family val="3"/>
        <charset val="134"/>
      </rPr>
      <t>，按各支路动作的工序，确定最大的瞬时耗气量，各支路中的耗气元件一般来说不是同时工作，按工艺要求有顺序进行，这种情况下总流量可按</t>
    </r>
    <r>
      <rPr>
        <sz val="11"/>
        <color theme="1"/>
        <rFont val="Tahoma"/>
        <family val="2"/>
      </rPr>
      <t>1.1</t>
    </r>
    <r>
      <rPr>
        <sz val="11"/>
        <color theme="1"/>
        <rFont val="宋体"/>
        <family val="3"/>
        <charset val="134"/>
      </rPr>
      <t>倍单体最大耗气量计算，即</t>
    </r>
    <r>
      <rPr>
        <sz val="11"/>
        <color rgb="FFFF0000"/>
        <rFont val="Tahoma"/>
        <family val="2"/>
      </rPr>
      <t>Q=1.1Qmax</t>
    </r>
    <r>
      <rPr>
        <sz val="11"/>
        <color theme="1"/>
        <rFont val="宋体"/>
        <family val="3"/>
        <charset val="134"/>
      </rPr>
      <t>。</t>
    </r>
    <phoneticPr fontId="4" type="noConversion"/>
  </si>
  <si>
    <t>已知条件：气缸缸径、气缸最大速度、工作压力</t>
    <phoneticPr fontId="4" type="noConversion"/>
  </si>
  <si>
    <r>
      <rPr>
        <sz val="11"/>
        <color theme="1"/>
        <rFont val="宋体"/>
        <family val="3"/>
        <charset val="134"/>
      </rPr>
      <t>负载重量</t>
    </r>
    <r>
      <rPr>
        <sz val="11"/>
        <color theme="1"/>
        <rFont val="Tahoma"/>
        <family val="2"/>
      </rPr>
      <t>m(kg)</t>
    </r>
    <phoneticPr fontId="4" type="noConversion"/>
  </si>
  <si>
    <t>吸附方式</t>
    <phoneticPr fontId="4" type="noConversion"/>
  </si>
  <si>
    <t>吸附方式(尽量避免垂直面吸附)</t>
    <phoneticPr fontId="4" type="noConversion"/>
  </si>
  <si>
    <t>上表面</t>
  </si>
  <si>
    <t>发生器到吸盘的配管</t>
    <phoneticPr fontId="4" type="noConversion"/>
  </si>
  <si>
    <t>吸盘数量</t>
    <phoneticPr fontId="4" type="noConversion"/>
  </si>
  <si>
    <r>
      <rPr>
        <sz val="11"/>
        <color theme="1"/>
        <rFont val="宋体"/>
        <family val="3"/>
        <charset val="134"/>
      </rPr>
      <t>所需吸盘面积</t>
    </r>
    <r>
      <rPr>
        <sz val="11"/>
        <color theme="1"/>
        <rFont val="Tahoma"/>
        <family val="2"/>
      </rPr>
      <t>S(mm²)</t>
    </r>
    <phoneticPr fontId="4" type="noConversion"/>
  </si>
  <si>
    <t>吸盘型号</t>
    <phoneticPr fontId="4" type="noConversion"/>
  </si>
  <si>
    <t>直径须＞计算值</t>
    <phoneticPr fontId="4" type="noConversion"/>
  </si>
  <si>
    <r>
      <t>2</t>
    </r>
    <r>
      <rPr>
        <sz val="11"/>
        <color theme="1"/>
        <rFont val="宋体"/>
        <family val="3"/>
        <charset val="134"/>
      </rPr>
      <t xml:space="preserve">，真空发生器
</t>
    </r>
    <r>
      <rPr>
        <sz val="11"/>
        <color theme="1"/>
        <rFont val="Tahoma"/>
        <family val="2"/>
      </rPr>
      <t xml:space="preserve">     </t>
    </r>
    <r>
      <rPr>
        <sz val="11"/>
        <color theme="1"/>
        <rFont val="宋体"/>
        <family val="3"/>
        <charset val="134"/>
      </rPr>
      <t>选型计算</t>
    </r>
    <phoneticPr fontId="4" type="noConversion"/>
  </si>
  <si>
    <r>
      <t>1</t>
    </r>
    <r>
      <rPr>
        <sz val="11"/>
        <color theme="1"/>
        <rFont val="宋体"/>
        <family val="3"/>
        <charset val="134"/>
      </rPr>
      <t xml:space="preserve">，真空吸盘选
</t>
    </r>
    <r>
      <rPr>
        <sz val="11"/>
        <color theme="1"/>
        <rFont val="Tahoma"/>
        <family val="2"/>
      </rPr>
      <t xml:space="preserve">     </t>
    </r>
    <r>
      <rPr>
        <sz val="11"/>
        <color theme="1"/>
        <rFont val="宋体"/>
        <family val="3"/>
        <charset val="134"/>
      </rPr>
      <t>型计算</t>
    </r>
    <phoneticPr fontId="4" type="noConversion"/>
  </si>
  <si>
    <r>
      <rPr>
        <sz val="11"/>
        <color theme="1"/>
        <rFont val="宋体"/>
        <family val="3"/>
        <charset val="134"/>
      </rPr>
      <t>所需吸盘直径</t>
    </r>
    <r>
      <rPr>
        <sz val="11"/>
        <color theme="1"/>
        <rFont val="Tahoma"/>
        <family val="2"/>
      </rPr>
      <t>D(mm)</t>
    </r>
    <phoneticPr fontId="4" type="noConversion"/>
  </si>
  <si>
    <t>所选吸盘直径D(mm)</t>
    <phoneticPr fontId="4" type="noConversion"/>
  </si>
  <si>
    <r>
      <rPr>
        <sz val="11"/>
        <color theme="1"/>
        <rFont val="宋体"/>
        <family val="3"/>
        <charset val="134"/>
      </rPr>
      <t>配管体积</t>
    </r>
    <r>
      <rPr>
        <sz val="11"/>
        <color theme="1"/>
        <rFont val="Tahoma"/>
        <family val="2"/>
      </rPr>
      <t>V1(L)</t>
    </r>
    <phoneticPr fontId="4" type="noConversion"/>
  </si>
  <si>
    <r>
      <rPr>
        <sz val="11"/>
        <color theme="1"/>
        <rFont val="宋体"/>
        <family val="3"/>
        <charset val="134"/>
      </rPr>
      <t>吸盘体积</t>
    </r>
    <r>
      <rPr>
        <sz val="11"/>
        <color theme="1"/>
        <rFont val="Tahoma"/>
        <family val="2"/>
      </rPr>
      <t>V2(L)</t>
    </r>
    <phoneticPr fontId="4" type="noConversion"/>
  </si>
  <si>
    <t>可查样本或估算</t>
    <phoneticPr fontId="4" type="noConversion"/>
  </si>
  <si>
    <r>
      <rPr>
        <sz val="11"/>
        <color theme="1"/>
        <rFont val="宋体"/>
        <family val="3"/>
        <charset val="134"/>
      </rPr>
      <t>要求真空度</t>
    </r>
    <r>
      <rPr>
        <sz val="11"/>
        <color theme="1"/>
        <rFont val="Tahoma"/>
        <family val="2"/>
      </rPr>
      <t>P0(KPa)</t>
    </r>
    <phoneticPr fontId="4" type="noConversion"/>
  </si>
  <si>
    <r>
      <rPr>
        <sz val="11"/>
        <color theme="1"/>
        <rFont val="宋体"/>
        <family val="3"/>
        <charset val="134"/>
      </rPr>
      <t>所需真空度</t>
    </r>
    <r>
      <rPr>
        <sz val="11"/>
        <color theme="1"/>
        <rFont val="Tahoma"/>
        <family val="2"/>
      </rPr>
      <t>P(KPa)</t>
    </r>
    <phoneticPr fontId="4" type="noConversion"/>
  </si>
  <si>
    <t>一般为88kPa</t>
    <phoneticPr fontId="4" type="noConversion"/>
  </si>
  <si>
    <r>
      <rPr>
        <sz val="11"/>
        <color theme="1"/>
        <rFont val="宋体"/>
        <family val="3"/>
        <charset val="134"/>
      </rPr>
      <t>发生器最大</t>
    </r>
    <r>
      <rPr>
        <sz val="11"/>
        <color theme="1"/>
        <rFont val="Tahoma"/>
        <family val="2"/>
      </rPr>
      <t>Pv(KPa)</t>
    </r>
    <phoneticPr fontId="4" type="noConversion"/>
  </si>
  <si>
    <t xml:space="preserve"> P/Pv</t>
    <phoneticPr fontId="4" type="noConversion"/>
  </si>
  <si>
    <t>查表1</t>
    <phoneticPr fontId="4" type="noConversion"/>
  </si>
  <si>
    <r>
      <rPr>
        <sz val="11"/>
        <color theme="1"/>
        <rFont val="宋体"/>
        <family val="3"/>
        <charset val="134"/>
      </rPr>
      <t>总吸附容积</t>
    </r>
    <r>
      <rPr>
        <sz val="11"/>
        <color theme="1"/>
        <rFont val="Tahoma"/>
        <family val="2"/>
      </rPr>
      <t>V(L)</t>
    </r>
    <phoneticPr fontId="4" type="noConversion"/>
  </si>
  <si>
    <r>
      <rPr>
        <sz val="11"/>
        <color theme="1"/>
        <rFont val="宋体"/>
        <family val="3"/>
        <charset val="134"/>
      </rPr>
      <t>相应时间比例</t>
    </r>
    <r>
      <rPr>
        <sz val="11"/>
        <color theme="1"/>
        <rFont val="Tahoma"/>
        <family val="2"/>
      </rPr>
      <t>T/T1</t>
    </r>
    <phoneticPr fontId="4" type="noConversion"/>
  </si>
  <si>
    <r>
      <rPr>
        <sz val="11"/>
        <color theme="1"/>
        <rFont val="宋体"/>
        <family val="3"/>
        <charset val="134"/>
      </rPr>
      <t>要求吸盘响应时间</t>
    </r>
    <r>
      <rPr>
        <sz val="11"/>
        <color theme="1"/>
        <rFont val="Tahoma"/>
        <family val="2"/>
      </rPr>
      <t>T(S)</t>
    </r>
    <phoneticPr fontId="4" type="noConversion"/>
  </si>
  <si>
    <r>
      <rPr>
        <sz val="11"/>
        <color theme="1"/>
        <rFont val="宋体"/>
        <family val="3"/>
        <charset val="134"/>
      </rPr>
      <t>平均吸入流量</t>
    </r>
    <r>
      <rPr>
        <sz val="11"/>
        <color theme="1"/>
        <rFont val="Tahoma"/>
        <family val="2"/>
      </rPr>
      <t>Q</t>
    </r>
    <r>
      <rPr>
        <vertAlign val="subscript"/>
        <sz val="14"/>
        <color theme="1"/>
        <rFont val="Tahoma"/>
        <family val="2"/>
      </rPr>
      <t>1</t>
    </r>
    <r>
      <rPr>
        <sz val="11"/>
        <color theme="1"/>
        <rFont val="Tahoma"/>
        <family val="2"/>
      </rPr>
      <t>(L/min)</t>
    </r>
    <phoneticPr fontId="4" type="noConversion"/>
  </si>
  <si>
    <r>
      <t>Qe=(2~3)*Q1,</t>
    </r>
    <r>
      <rPr>
        <sz val="11"/>
        <color theme="1"/>
        <rFont val="宋体"/>
        <family val="3"/>
        <charset val="134"/>
      </rPr>
      <t>管路阻力大则取</t>
    </r>
    <r>
      <rPr>
        <sz val="11"/>
        <color theme="1"/>
        <rFont val="Tahoma"/>
        <family val="2"/>
      </rPr>
      <t>3*Q</t>
    </r>
    <r>
      <rPr>
        <vertAlign val="subscript"/>
        <sz val="14"/>
        <color theme="1"/>
        <rFont val="Tahoma"/>
        <family val="2"/>
      </rPr>
      <t>1</t>
    </r>
    <phoneticPr fontId="4" type="noConversion"/>
  </si>
  <si>
    <t>查样本</t>
    <phoneticPr fontId="4" type="noConversion"/>
  </si>
  <si>
    <r>
      <t>SMC</t>
    </r>
    <r>
      <rPr>
        <sz val="11"/>
        <color theme="1"/>
        <rFont val="宋体"/>
        <family val="3"/>
        <charset val="134"/>
      </rPr>
      <t>真空发生器样本截图</t>
    </r>
    <phoneticPr fontId="4" type="noConversion"/>
  </si>
  <si>
    <t>真空发生器型号</t>
    <phoneticPr fontId="4" type="noConversion"/>
  </si>
  <si>
    <t>ZH10BS-01-01</t>
    <phoneticPr fontId="4" type="noConversion"/>
  </si>
  <si>
    <t>校核相应时间T(S)</t>
    <phoneticPr fontId="4" type="noConversion"/>
  </si>
  <si>
    <r>
      <rPr>
        <sz val="11"/>
        <color theme="1"/>
        <rFont val="宋体"/>
        <family val="3"/>
        <charset val="134"/>
      </rPr>
      <t>最大吸入流量</t>
    </r>
    <r>
      <rPr>
        <sz val="11"/>
        <color theme="1"/>
        <rFont val="Tahoma"/>
        <family val="2"/>
      </rPr>
      <t>Qe(L/min)</t>
    </r>
    <phoneticPr fontId="4" type="noConversion"/>
  </si>
  <si>
    <r>
      <rPr>
        <sz val="11"/>
        <color theme="1"/>
        <rFont val="宋体"/>
        <family val="3"/>
        <charset val="134"/>
      </rPr>
      <t>实际</t>
    </r>
    <r>
      <rPr>
        <sz val="11"/>
        <color theme="1"/>
        <rFont val="Tahoma"/>
        <family val="2"/>
      </rPr>
      <t>Qe(L/min)</t>
    </r>
    <phoneticPr fontId="4" type="noConversion"/>
  </si>
  <si>
    <t>多久时间必须吸稳</t>
    <phoneticPr fontId="4" type="noConversion"/>
  </si>
  <si>
    <t>表1 吸附时间比例查询</t>
    <phoneticPr fontId="4" type="noConversion"/>
  </si>
  <si>
    <t>已知条件：吸附方式、负载重量、配管内径及长度、吸盘数量、真空度要求等</t>
    <phoneticPr fontId="4" type="noConversion"/>
  </si>
  <si>
    <r>
      <rPr>
        <sz val="12"/>
        <color theme="1"/>
        <rFont val="宋体"/>
        <family val="3"/>
        <charset val="134"/>
      </rPr>
      <t>文档信息
编写：图惜
参考：《真空吸盘直径计算》</t>
    </r>
    <r>
      <rPr>
        <sz val="12"/>
        <color theme="1"/>
        <rFont val="Tahoma"/>
        <family val="2"/>
      </rPr>
      <t>——(</t>
    </r>
    <r>
      <rPr>
        <sz val="12"/>
        <color theme="1"/>
        <rFont val="宋体"/>
        <family val="3"/>
        <charset val="134"/>
      </rPr>
      <t>前桥教育</t>
    </r>
    <r>
      <rPr>
        <sz val="12"/>
        <color theme="1"/>
        <rFont val="Tahoma"/>
        <family val="2"/>
      </rPr>
      <t xml:space="preserve">) </t>
    </r>
    <r>
      <rPr>
        <sz val="12"/>
        <color theme="1"/>
        <rFont val="宋体"/>
        <family val="3"/>
        <charset val="134"/>
      </rPr>
      <t xml:space="preserve">宣言
</t>
    </r>
    <r>
      <rPr>
        <sz val="12"/>
        <color theme="1"/>
        <rFont val="Tahoma"/>
        <family val="2"/>
      </rPr>
      <t xml:space="preserve">          </t>
    </r>
    <r>
      <rPr>
        <sz val="12"/>
        <color theme="1"/>
        <rFont val="宋体"/>
        <family val="3"/>
        <charset val="134"/>
      </rPr>
      <t>《真空发生器选型》</t>
    </r>
    <r>
      <rPr>
        <sz val="12"/>
        <color theme="1"/>
        <rFont val="Tahoma"/>
        <family val="2"/>
      </rPr>
      <t>——(</t>
    </r>
    <r>
      <rPr>
        <sz val="12"/>
        <color theme="1"/>
        <rFont val="宋体"/>
        <family val="3"/>
        <charset val="134"/>
      </rPr>
      <t>前桥教育</t>
    </r>
    <r>
      <rPr>
        <sz val="12"/>
        <color theme="1"/>
        <rFont val="Tahoma"/>
        <family val="2"/>
      </rPr>
      <t xml:space="preserve">) </t>
    </r>
    <r>
      <rPr>
        <sz val="12"/>
        <color theme="1"/>
        <rFont val="宋体"/>
        <family val="3"/>
        <charset val="134"/>
      </rPr>
      <t>宣言</t>
    </r>
    <r>
      <rPr>
        <sz val="12"/>
        <color theme="1"/>
        <rFont val="Tahoma"/>
        <family val="2"/>
      </rPr>
      <t xml:space="preserve">                                                                                               
                                                                              2018.8.15   </t>
    </r>
    <phoneticPr fontId="4" type="noConversion"/>
  </si>
  <si>
    <r>
      <rPr>
        <sz val="11"/>
        <color theme="1"/>
        <rFont val="宋体"/>
        <family val="3"/>
        <charset val="134"/>
      </rPr>
      <t>水平</t>
    </r>
    <r>
      <rPr>
        <sz val="11"/>
        <color theme="1"/>
        <rFont val="Tahoma"/>
        <family val="2"/>
      </rPr>
      <t>0°</t>
    </r>
    <r>
      <rPr>
        <sz val="11"/>
        <color theme="1"/>
        <rFont val="宋体"/>
        <family val="3"/>
        <charset val="134"/>
      </rPr>
      <t>，垂直</t>
    </r>
    <r>
      <rPr>
        <sz val="11"/>
        <color theme="1"/>
        <rFont val="Tahoma"/>
        <family val="2"/>
      </rPr>
      <t>90°</t>
    </r>
    <phoneticPr fontId="4" type="noConversion"/>
  </si>
  <si>
    <r>
      <rPr>
        <sz val="11"/>
        <color theme="1"/>
        <rFont val="宋体"/>
        <family val="3"/>
        <charset val="134"/>
      </rPr>
      <t>气缸运行时间</t>
    </r>
    <r>
      <rPr>
        <sz val="11"/>
        <color theme="1"/>
        <rFont val="Tahoma"/>
        <family val="2"/>
      </rPr>
      <t>t(s)</t>
    </r>
    <phoneticPr fontId="4" type="noConversion"/>
  </si>
  <si>
    <r>
      <rPr>
        <sz val="11"/>
        <color theme="1"/>
        <rFont val="宋体"/>
        <family val="3"/>
        <charset val="134"/>
      </rPr>
      <t>根据生产定，</t>
    </r>
    <r>
      <rPr>
        <sz val="11"/>
        <color theme="1"/>
        <rFont val="Tahoma"/>
        <family val="2"/>
      </rPr>
      <t>0.5~1</t>
    </r>
    <phoneticPr fontId="4" type="noConversion"/>
  </si>
  <si>
    <r>
      <rPr>
        <sz val="11"/>
        <color theme="1"/>
        <rFont val="宋体"/>
        <family val="3"/>
        <charset val="134"/>
      </rPr>
      <t>一般都是</t>
    </r>
    <r>
      <rPr>
        <sz val="11"/>
        <color theme="1"/>
        <rFont val="Tahoma"/>
        <family val="2"/>
      </rPr>
      <t>0.1</t>
    </r>
    <phoneticPr fontId="4" type="noConversion"/>
  </si>
  <si>
    <r>
      <rPr>
        <sz val="11"/>
        <color theme="1"/>
        <rFont val="宋体"/>
        <family val="3"/>
        <charset val="134"/>
      </rPr>
      <t>气缸启动时间</t>
    </r>
    <r>
      <rPr>
        <sz val="11"/>
        <color theme="1"/>
        <rFont val="Tahoma"/>
        <family val="2"/>
      </rPr>
      <t>t0(s)</t>
    </r>
    <phoneticPr fontId="4" type="noConversion"/>
  </si>
  <si>
    <r>
      <rPr>
        <sz val="11"/>
        <color theme="1"/>
        <rFont val="宋体"/>
        <family val="3"/>
        <charset val="134"/>
      </rPr>
      <t>气缸刹车时间</t>
    </r>
    <r>
      <rPr>
        <sz val="11"/>
        <color theme="1"/>
        <rFont val="Tahoma"/>
        <family val="2"/>
      </rPr>
      <t>t1(s)</t>
    </r>
    <phoneticPr fontId="4" type="noConversion"/>
  </si>
  <si>
    <r>
      <rPr>
        <sz val="11"/>
        <color theme="1"/>
        <rFont val="宋体"/>
        <family val="3"/>
        <charset val="134"/>
      </rPr>
      <t>最大线速度</t>
    </r>
    <r>
      <rPr>
        <sz val="11"/>
        <color theme="1"/>
        <rFont val="Tahoma"/>
        <family val="2"/>
      </rPr>
      <t>Vmax(m/s)</t>
    </r>
    <phoneticPr fontId="4" type="noConversion"/>
  </si>
  <si>
    <r>
      <rPr>
        <sz val="11"/>
        <color theme="1"/>
        <rFont val="宋体"/>
        <family val="3"/>
        <charset val="134"/>
      </rPr>
      <t>加速度</t>
    </r>
    <r>
      <rPr>
        <sz val="11"/>
        <color theme="1"/>
        <rFont val="Tahoma"/>
        <family val="2"/>
      </rPr>
      <t>a(m/s²)</t>
    </r>
    <phoneticPr fontId="4" type="noConversion"/>
  </si>
  <si>
    <r>
      <rPr>
        <sz val="11"/>
        <color theme="1"/>
        <rFont val="宋体"/>
        <family val="3"/>
        <charset val="134"/>
      </rPr>
      <t>一般</t>
    </r>
    <r>
      <rPr>
        <sz val="11"/>
        <color theme="1"/>
        <rFont val="Tahoma"/>
        <family val="2"/>
      </rPr>
      <t>=t0</t>
    </r>
    <phoneticPr fontId="4" type="noConversion"/>
  </si>
  <si>
    <r>
      <rPr>
        <sz val="11"/>
        <color theme="1"/>
        <rFont val="宋体"/>
        <family val="3"/>
        <charset val="134"/>
      </rPr>
      <t>负载行程</t>
    </r>
    <r>
      <rPr>
        <sz val="11"/>
        <color theme="1"/>
        <rFont val="Tahoma"/>
        <family val="2"/>
      </rPr>
      <t>L0(mm)</t>
    </r>
    <phoneticPr fontId="4" type="noConversion"/>
  </si>
  <si>
    <r>
      <t>负载行程</t>
    </r>
    <r>
      <rPr>
        <sz val="11"/>
        <color theme="1"/>
        <rFont val="Tahoma"/>
        <family val="2"/>
      </rPr>
      <t>L0(mm)</t>
    </r>
  </si>
  <si>
    <r>
      <t>气缸行程选择</t>
    </r>
    <r>
      <rPr>
        <sz val="11"/>
        <color theme="1"/>
        <rFont val="Tahoma"/>
        <family val="2"/>
      </rPr>
      <t>L(mm)</t>
    </r>
    <phoneticPr fontId="4" type="noConversion"/>
  </si>
  <si>
    <r>
      <rPr>
        <sz val="11"/>
        <color theme="1"/>
        <rFont val="宋体"/>
        <family val="3"/>
        <charset val="134"/>
      </rPr>
      <t>文档信息
编写：图惜
参考：《</t>
    </r>
    <r>
      <rPr>
        <sz val="11"/>
        <color theme="1"/>
        <rFont val="Tahoma"/>
        <family val="2"/>
      </rPr>
      <t>SMC</t>
    </r>
    <r>
      <rPr>
        <sz val="11"/>
        <color theme="1"/>
        <rFont val="宋体"/>
        <family val="3"/>
        <charset val="134"/>
      </rPr>
      <t xml:space="preserve">气动元件选型步骤》
</t>
    </r>
    <r>
      <rPr>
        <sz val="11"/>
        <color theme="1"/>
        <rFont val="Tahoma"/>
        <family val="2"/>
      </rPr>
      <t xml:space="preserve">         </t>
    </r>
    <r>
      <rPr>
        <sz val="11"/>
        <color theme="1"/>
        <rFont val="宋体"/>
        <family val="3"/>
        <charset val="134"/>
      </rPr>
      <t>《亚德客产品型录</t>
    </r>
    <r>
      <rPr>
        <sz val="11"/>
        <color theme="1"/>
        <rFont val="Tahoma"/>
        <family val="2"/>
      </rPr>
      <t>2018</t>
    </r>
    <r>
      <rPr>
        <sz val="11"/>
        <color theme="1"/>
        <rFont val="宋体"/>
        <family val="3"/>
        <charset val="134"/>
      </rPr>
      <t xml:space="preserve">》
</t>
    </r>
    <r>
      <rPr>
        <sz val="11"/>
        <color theme="1"/>
        <rFont val="Tahoma"/>
        <family val="2"/>
      </rPr>
      <t xml:space="preserve">         </t>
    </r>
    <r>
      <rPr>
        <sz val="11"/>
        <color theme="1"/>
        <rFont val="宋体"/>
        <family val="3"/>
        <charset val="134"/>
      </rPr>
      <t>《普通气缸选型计算》</t>
    </r>
    <r>
      <rPr>
        <sz val="11"/>
        <color theme="1"/>
        <rFont val="Tahoma"/>
        <family val="2"/>
      </rPr>
      <t>——(</t>
    </r>
    <r>
      <rPr>
        <sz val="11"/>
        <color theme="1"/>
        <rFont val="宋体"/>
        <family val="3"/>
        <charset val="134"/>
      </rPr>
      <t>前桥教育</t>
    </r>
    <r>
      <rPr>
        <sz val="11"/>
        <color theme="1"/>
        <rFont val="Tahoma"/>
        <family val="2"/>
      </rPr>
      <t xml:space="preserve">) </t>
    </r>
    <r>
      <rPr>
        <sz val="11"/>
        <color theme="1"/>
        <rFont val="宋体"/>
        <family val="3"/>
        <charset val="134"/>
      </rPr>
      <t xml:space="preserve">宣言
</t>
    </r>
    <r>
      <rPr>
        <sz val="11"/>
        <color theme="1"/>
        <rFont val="Tahoma"/>
        <family val="2"/>
      </rPr>
      <t xml:space="preserve">         </t>
    </r>
    <r>
      <rPr>
        <sz val="11"/>
        <color theme="1"/>
        <rFont val="宋体"/>
        <family val="3"/>
        <charset val="134"/>
      </rPr>
      <t>《自动化机构设计工程师速成宝典之实战篇》</t>
    </r>
    <r>
      <rPr>
        <sz val="11"/>
        <color theme="1"/>
        <rFont val="Tahoma"/>
        <family val="2"/>
      </rPr>
      <t xml:space="preserve"> ——</t>
    </r>
    <r>
      <rPr>
        <sz val="11"/>
        <color theme="1"/>
        <rFont val="宋体"/>
        <family val="3"/>
        <charset val="134"/>
      </rPr>
      <t>康博</t>
    </r>
    <r>
      <rPr>
        <sz val="11"/>
        <color theme="1"/>
        <rFont val="Tahoma"/>
        <family val="2"/>
      </rPr>
      <t xml:space="preserve"> 
</t>
    </r>
    <r>
      <rPr>
        <sz val="11"/>
        <color theme="1"/>
        <rFont val="宋体"/>
        <family val="3"/>
        <charset val="134"/>
      </rPr>
      <t xml:space="preserve">修改日志：
</t>
    </r>
    <r>
      <rPr>
        <sz val="11"/>
        <color theme="1"/>
        <rFont val="Tahoma"/>
        <family val="2"/>
      </rPr>
      <t xml:space="preserve">      2018.8.12</t>
    </r>
    <r>
      <rPr>
        <sz val="11"/>
        <color theme="1"/>
        <rFont val="宋体"/>
        <family val="3"/>
        <charset val="134"/>
      </rPr>
      <t>完成文档，只能计算负载水平和竖直布局，且没有考虑惯性力，即</t>
    </r>
    <r>
      <rPr>
        <sz val="11"/>
        <color theme="1"/>
        <rFont val="Tahoma"/>
        <family val="2"/>
      </rPr>
      <t>F0=mgμ(</t>
    </r>
    <r>
      <rPr>
        <sz val="11"/>
        <color theme="1"/>
        <rFont val="宋体"/>
        <family val="3"/>
        <charset val="134"/>
      </rPr>
      <t>水平</t>
    </r>
    <r>
      <rPr>
        <sz val="11"/>
        <color theme="1"/>
        <rFont val="Tahoma"/>
        <family val="2"/>
      </rPr>
      <t>)</t>
    </r>
    <r>
      <rPr>
        <sz val="11"/>
        <color theme="1"/>
        <rFont val="宋体"/>
        <family val="3"/>
        <charset val="134"/>
      </rPr>
      <t>或</t>
    </r>
    <r>
      <rPr>
        <sz val="11"/>
        <color theme="1"/>
        <rFont val="Tahoma"/>
        <family val="2"/>
      </rPr>
      <t>F0=mg(</t>
    </r>
    <r>
      <rPr>
        <sz val="11"/>
        <color theme="1"/>
        <rFont val="宋体"/>
        <family val="3"/>
        <charset val="134"/>
      </rPr>
      <t>竖直</t>
    </r>
    <r>
      <rPr>
        <sz val="11"/>
        <color theme="1"/>
        <rFont val="Tahoma"/>
        <family val="2"/>
      </rPr>
      <t>)</t>
    </r>
    <r>
      <rPr>
        <sz val="11"/>
        <color theme="1"/>
        <rFont val="宋体"/>
        <family val="3"/>
        <charset val="134"/>
      </rPr>
      <t xml:space="preserve">；
</t>
    </r>
    <r>
      <rPr>
        <sz val="11"/>
        <color theme="1"/>
        <rFont val="Tahoma"/>
        <family val="2"/>
      </rPr>
      <t xml:space="preserve">      2018.8.15</t>
    </r>
    <r>
      <rPr>
        <sz val="11"/>
        <color theme="1"/>
        <rFont val="宋体"/>
        <family val="3"/>
        <charset val="134"/>
      </rPr>
      <t>更新文档，加入倾斜角θ，可以计算任何坡度布局，且考虑启动加速度</t>
    </r>
    <r>
      <rPr>
        <sz val="11"/>
        <color theme="1"/>
        <rFont val="Tahoma"/>
        <family val="2"/>
      </rPr>
      <t>a</t>
    </r>
    <r>
      <rPr>
        <sz val="11"/>
        <color theme="1"/>
        <rFont val="宋体"/>
        <family val="3"/>
        <charset val="134"/>
      </rPr>
      <t>，即</t>
    </r>
    <r>
      <rPr>
        <sz val="11"/>
        <color theme="1"/>
        <rFont val="Tahoma"/>
        <family val="2"/>
      </rPr>
      <t>F0=mg(sinθ+μcosθ)+ma</t>
    </r>
    <r>
      <rPr>
        <sz val="11"/>
        <color theme="1"/>
        <rFont val="宋体"/>
        <family val="3"/>
        <charset val="134"/>
      </rPr>
      <t>；</t>
    </r>
    <r>
      <rPr>
        <sz val="11"/>
        <color theme="1"/>
        <rFont val="Tahoma"/>
        <family val="2"/>
      </rPr>
      <t xml:space="preserve">  </t>
    </r>
    <phoneticPr fontId="4" type="noConversion"/>
  </si>
  <si>
    <r>
      <rPr>
        <sz val="11"/>
        <color theme="1"/>
        <rFont val="宋体"/>
        <family val="3"/>
        <charset val="134"/>
      </rPr>
      <t>倾斜度</t>
    </r>
    <r>
      <rPr>
        <sz val="11"/>
        <color theme="1"/>
        <rFont val="Tahoma"/>
        <family val="2"/>
      </rPr>
      <t>θ(°)</t>
    </r>
    <phoneticPr fontId="4" type="noConversion"/>
  </si>
  <si>
    <r>
      <rPr>
        <sz val="11"/>
        <color theme="1"/>
        <rFont val="宋体"/>
        <family val="3"/>
        <charset val="134"/>
      </rPr>
      <t>附表</t>
    </r>
    <r>
      <rPr>
        <sz val="11"/>
        <color theme="1"/>
        <rFont val="Tahoma"/>
        <family val="2"/>
      </rPr>
      <t xml:space="preserve"> </t>
    </r>
    <r>
      <rPr>
        <sz val="11"/>
        <color theme="1"/>
        <rFont val="宋体"/>
        <family val="3"/>
        <charset val="134"/>
      </rPr>
      <t>各材料摩擦系数</t>
    </r>
    <phoneticPr fontId="4" type="noConversion"/>
  </si>
  <si>
    <t>见说明</t>
    <phoneticPr fontId="4" type="noConversion"/>
  </si>
  <si>
    <r>
      <rPr>
        <sz val="12"/>
        <color theme="1"/>
        <rFont val="宋体"/>
        <family val="3"/>
        <charset val="134"/>
      </rPr>
      <t>说明：</t>
    </r>
    <r>
      <rPr>
        <sz val="12"/>
        <color theme="1"/>
        <rFont val="Tahoma"/>
        <family val="2"/>
      </rPr>
      <t xml:space="preserve"> </t>
    </r>
    <r>
      <rPr>
        <sz val="12"/>
        <color theme="1"/>
        <rFont val="宋体"/>
        <family val="3"/>
        <charset val="134"/>
      </rPr>
      <t xml:space="preserve">
</t>
    </r>
    <r>
      <rPr>
        <sz val="12"/>
        <color theme="1"/>
        <rFont val="Tahoma"/>
        <family val="2"/>
      </rPr>
      <t xml:space="preserve">    1</t>
    </r>
    <r>
      <rPr>
        <sz val="12"/>
        <color theme="1"/>
        <rFont val="宋体"/>
        <family val="3"/>
        <charset val="134"/>
      </rPr>
      <t>，各材料摩擦系数见附表，取值应比附表数值小；</t>
    </r>
    <r>
      <rPr>
        <sz val="12"/>
        <color theme="1"/>
        <rFont val="Tahoma"/>
        <family val="2"/>
      </rPr>
      <t xml:space="preserve">
    2</t>
    </r>
    <r>
      <rPr>
        <sz val="12"/>
        <color theme="1"/>
        <rFont val="宋体"/>
        <family val="3"/>
        <charset val="134"/>
      </rPr>
      <t>，</t>
    </r>
    <r>
      <rPr>
        <sz val="12"/>
        <color theme="1"/>
        <rFont val="Tahoma"/>
        <family val="2"/>
      </rPr>
      <t>HFZ</t>
    </r>
    <r>
      <rPr>
        <sz val="12"/>
        <color theme="1"/>
        <rFont val="宋体"/>
        <family val="3"/>
        <charset val="134"/>
      </rPr>
      <t>表示</t>
    </r>
    <r>
      <rPr>
        <sz val="12"/>
        <color rgb="FFFF0000"/>
        <rFont val="宋体"/>
        <family val="3"/>
        <charset val="134"/>
      </rPr>
      <t>滚珠</t>
    </r>
    <r>
      <rPr>
        <sz val="12"/>
        <color theme="1"/>
        <rFont val="宋体"/>
        <family val="3"/>
        <charset val="134"/>
      </rPr>
      <t>式带轨道平行手指，</t>
    </r>
    <r>
      <rPr>
        <sz val="12"/>
        <color theme="1"/>
        <rFont val="Tahoma"/>
        <family val="2"/>
      </rPr>
      <t>HFK</t>
    </r>
    <r>
      <rPr>
        <sz val="12"/>
        <color theme="1"/>
        <rFont val="宋体"/>
        <family val="3"/>
        <charset val="134"/>
      </rPr>
      <t>表示</t>
    </r>
    <r>
      <rPr>
        <sz val="12"/>
        <color rgb="FFFF0000"/>
        <rFont val="宋体"/>
        <family val="3"/>
        <charset val="134"/>
      </rPr>
      <t>滚柱</t>
    </r>
    <r>
      <rPr>
        <sz val="12"/>
        <color theme="1"/>
        <rFont val="宋体"/>
        <family val="3"/>
        <charset val="134"/>
      </rPr>
      <t>式带轨道平行手指，含</t>
    </r>
    <r>
      <rPr>
        <sz val="12"/>
        <color theme="1"/>
        <rFont val="Tahoma"/>
        <family val="2"/>
      </rPr>
      <t>T</t>
    </r>
    <r>
      <rPr>
        <sz val="12"/>
        <color theme="1"/>
        <rFont val="宋体"/>
        <family val="3"/>
        <charset val="134"/>
      </rPr>
      <t>表示单动常开型，带</t>
    </r>
    <r>
      <rPr>
        <sz val="12"/>
        <color theme="1"/>
        <rFont val="Tahoma"/>
        <family val="2"/>
      </rPr>
      <t>S</t>
    </r>
    <r>
      <rPr>
        <sz val="12"/>
        <color theme="1"/>
        <rFont val="宋体"/>
        <family val="3"/>
        <charset val="134"/>
      </rPr>
      <t>表示单动常闭型；</t>
    </r>
    <r>
      <rPr>
        <sz val="12"/>
        <color theme="1"/>
        <rFont val="Tahoma"/>
        <family val="2"/>
      </rPr>
      <t xml:space="preserve">
    3</t>
    </r>
    <r>
      <rPr>
        <sz val="12"/>
        <color theme="1"/>
        <rFont val="宋体"/>
        <family val="3"/>
        <charset val="134"/>
      </rPr>
      <t>，受力分析如下图：</t>
    </r>
    <phoneticPr fontId="4" type="noConversion"/>
  </si>
  <si>
    <r>
      <rPr>
        <sz val="11"/>
        <color theme="1"/>
        <rFont val="宋体"/>
        <family val="3"/>
        <charset val="134"/>
      </rPr>
      <t>≤</t>
    </r>
    <r>
      <rPr>
        <sz val="11"/>
        <color theme="1"/>
        <rFont val="Tahoma"/>
        <family val="2"/>
      </rPr>
      <t>88,</t>
    </r>
    <r>
      <rPr>
        <sz val="11"/>
        <color theme="1"/>
        <rFont val="宋体"/>
        <family val="3"/>
        <charset val="134"/>
      </rPr>
      <t>一般</t>
    </r>
    <r>
      <rPr>
        <sz val="11"/>
        <color theme="1"/>
        <rFont val="Tahoma"/>
        <family val="2"/>
      </rPr>
      <t>80</t>
    </r>
    <phoneticPr fontId="4" type="noConversion"/>
  </si>
  <si>
    <r>
      <rPr>
        <sz val="11"/>
        <color theme="1"/>
        <rFont val="宋体"/>
        <family val="3"/>
        <charset val="134"/>
      </rPr>
      <t>真空度安全系数</t>
    </r>
    <r>
      <rPr>
        <sz val="11"/>
        <color theme="1"/>
        <rFont val="Tahoma"/>
        <family val="2"/>
      </rPr>
      <t>a</t>
    </r>
    <phoneticPr fontId="4" type="noConversion"/>
  </si>
  <si>
    <r>
      <t>0.63~0.95</t>
    </r>
    <r>
      <rPr>
        <sz val="11"/>
        <color theme="1"/>
        <rFont val="宋体"/>
        <family val="3"/>
        <charset val="134"/>
      </rPr>
      <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</si>
  <si>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，真空度单位</t>
    </r>
    <r>
      <rPr>
        <sz val="11"/>
        <color theme="1"/>
        <rFont val="Tahoma"/>
        <family val="2"/>
      </rPr>
      <t>kPa</t>
    </r>
    <r>
      <rPr>
        <sz val="11"/>
        <color theme="1"/>
        <rFont val="宋体"/>
        <family val="3"/>
        <charset val="134"/>
      </rPr>
      <t>，相对大气压</t>
    </r>
    <r>
      <rPr>
        <sz val="11"/>
        <color theme="1"/>
        <rFont val="Tahoma"/>
        <family val="2"/>
      </rPr>
      <t>101kPa</t>
    </r>
    <r>
      <rPr>
        <sz val="11"/>
        <color theme="1"/>
        <rFont val="宋体"/>
        <family val="3"/>
        <charset val="134"/>
      </rPr>
      <t>其实时一个减值，比如真空度</t>
    </r>
    <r>
      <rPr>
        <sz val="11"/>
        <color theme="1"/>
        <rFont val="Tahoma"/>
        <family val="2"/>
      </rPr>
      <t>88kPa</t>
    </r>
    <r>
      <rPr>
        <sz val="11"/>
        <color theme="1"/>
        <rFont val="宋体"/>
        <family val="3"/>
        <charset val="134"/>
      </rPr>
      <t>表示绝对气压为</t>
    </r>
    <r>
      <rPr>
        <sz val="11"/>
        <color theme="1"/>
        <rFont val="Tahoma"/>
        <family val="2"/>
      </rPr>
      <t>(101-88)kPa</t>
    </r>
    <r>
      <rPr>
        <sz val="11"/>
        <color theme="1"/>
        <rFont val="宋体"/>
        <family val="3"/>
        <charset val="134"/>
      </rPr>
      <t>，为计算与表达方便，常直接当做正值。普通真空发生器最大真空度为</t>
    </r>
    <r>
      <rPr>
        <sz val="11"/>
        <color rgb="FFFF0000"/>
        <rFont val="Tahoma"/>
        <family val="2"/>
      </rPr>
      <t>88kPa</t>
    </r>
    <r>
      <rPr>
        <sz val="11"/>
        <color theme="1"/>
        <rFont val="宋体"/>
        <family val="3"/>
        <charset val="134"/>
      </rPr>
      <t>，另一种制造空方法——真空泵可达</t>
    </r>
    <r>
      <rPr>
        <sz val="11"/>
        <color theme="1"/>
        <rFont val="Tahoma"/>
        <family val="2"/>
      </rPr>
      <t>101kPa(</t>
    </r>
    <r>
      <rPr>
        <sz val="11"/>
        <color theme="1"/>
        <rFont val="宋体"/>
        <family val="3"/>
        <charset val="134"/>
      </rPr>
      <t>即绝对真空</t>
    </r>
    <r>
      <rPr>
        <sz val="11"/>
        <color theme="1"/>
        <rFont val="Tahoma"/>
        <family val="2"/>
      </rPr>
      <t>)</t>
    </r>
    <r>
      <rPr>
        <sz val="11"/>
        <color theme="1"/>
        <rFont val="宋体"/>
        <family val="3"/>
        <charset val="134"/>
      </rPr>
      <t>，但是需购置真空泵及相关配件，成本高、结构复杂、只适合连续大流量工作。</t>
    </r>
    <r>
      <rPr>
        <sz val="11"/>
        <color theme="1"/>
        <rFont val="Tahoma"/>
        <family val="2"/>
      </rPr>
      <t xml:space="preserve">
    2</t>
    </r>
    <r>
      <rPr>
        <sz val="11"/>
        <color theme="1"/>
        <rFont val="宋体"/>
        <family val="3"/>
        <charset val="134"/>
      </rPr>
      <t>，吸盘内的真空度</t>
    </r>
    <r>
      <rPr>
        <sz val="11"/>
        <color theme="1"/>
        <rFont val="Tahoma"/>
        <family val="2"/>
      </rPr>
      <t>P</t>
    </r>
    <r>
      <rPr>
        <sz val="11"/>
        <color theme="1"/>
        <rFont val="宋体"/>
        <family val="3"/>
        <charset val="134"/>
      </rPr>
      <t>在最大真空度</t>
    </r>
    <r>
      <rPr>
        <sz val="11"/>
        <color theme="1"/>
        <rFont val="Tahoma"/>
        <family val="2"/>
      </rPr>
      <t>Pv=88kPa</t>
    </r>
    <r>
      <rPr>
        <sz val="11"/>
        <color theme="1"/>
        <rFont val="宋体"/>
        <family val="3"/>
        <charset val="134"/>
      </rPr>
      <t>的</t>
    </r>
    <r>
      <rPr>
        <sz val="11"/>
        <color theme="1"/>
        <rFont val="Tahoma"/>
        <family val="2"/>
      </rPr>
      <t>63%~95%</t>
    </r>
    <r>
      <rPr>
        <sz val="11"/>
        <color theme="1"/>
        <rFont val="宋体"/>
        <family val="3"/>
        <charset val="134"/>
      </rPr>
      <t xml:space="preserve">内选择，即保证吸附力，又不致使吸附相应时间过长；
</t>
    </r>
    <r>
      <rPr>
        <sz val="11"/>
        <color theme="1"/>
        <rFont val="Tahoma"/>
        <family val="2"/>
      </rPr>
      <t xml:space="preserve">    3</t>
    </r>
    <r>
      <rPr>
        <sz val="11"/>
        <color theme="1"/>
        <rFont val="宋体"/>
        <family val="3"/>
        <charset val="134"/>
      </rPr>
      <t>，真空度安全系数</t>
    </r>
    <r>
      <rPr>
        <sz val="11"/>
        <color theme="1"/>
        <rFont val="Tahoma"/>
        <family val="2"/>
      </rPr>
      <t>a</t>
    </r>
    <r>
      <rPr>
        <sz val="11"/>
        <color theme="1"/>
        <rFont val="宋体"/>
        <family val="3"/>
        <charset val="134"/>
      </rPr>
      <t>含义：保证真空度达到在</t>
    </r>
    <r>
      <rPr>
        <sz val="11"/>
        <color theme="1"/>
        <rFont val="Tahoma"/>
        <family val="2"/>
      </rPr>
      <t>P0*a</t>
    </r>
    <r>
      <rPr>
        <sz val="11"/>
        <color theme="1"/>
        <rFont val="宋体"/>
        <family val="3"/>
        <charset val="134"/>
      </rPr>
      <t>时就可以把负载吸附住</t>
    </r>
    <r>
      <rPr>
        <sz val="11"/>
        <color theme="1"/>
        <rFont val="Tahoma"/>
        <family val="2"/>
      </rPr>
      <t>,</t>
    </r>
    <r>
      <rPr>
        <sz val="11"/>
        <color theme="1"/>
        <rFont val="宋体"/>
        <family val="3"/>
        <charset val="134"/>
      </rPr>
      <t>比如要求真空度</t>
    </r>
    <r>
      <rPr>
        <sz val="11"/>
        <color theme="1"/>
        <rFont val="Tahoma"/>
        <family val="2"/>
      </rPr>
      <t>P0=80kPa</t>
    </r>
    <r>
      <rPr>
        <sz val="11"/>
        <color theme="1"/>
        <rFont val="宋体"/>
        <family val="3"/>
        <charset val="134"/>
      </rPr>
      <t>，安全系数</t>
    </r>
    <r>
      <rPr>
        <sz val="11"/>
        <color theme="1"/>
        <rFont val="Tahoma"/>
        <family val="2"/>
      </rPr>
      <t>a=0.8</t>
    </r>
    <r>
      <rPr>
        <sz val="11"/>
        <color theme="1"/>
        <rFont val="宋体"/>
        <family val="3"/>
        <charset val="134"/>
      </rPr>
      <t>，即要求系统在实际真空度达到</t>
    </r>
    <r>
      <rPr>
        <sz val="11"/>
        <color theme="1"/>
        <rFont val="Tahoma"/>
        <family val="2"/>
      </rPr>
      <t>80*0.9=72kPa</t>
    </r>
    <r>
      <rPr>
        <sz val="11"/>
        <color theme="1"/>
        <rFont val="宋体"/>
        <family val="3"/>
        <charset val="134"/>
      </rPr>
      <t>时就可以吸附住负载物体。</t>
    </r>
    <phoneticPr fontId="4" type="noConversion"/>
  </si>
  <si>
    <r>
      <rPr>
        <sz val="11"/>
        <color theme="1"/>
        <rFont val="宋体"/>
        <family val="3"/>
        <charset val="134"/>
      </rPr>
      <t>运行行程</t>
    </r>
    <r>
      <rPr>
        <sz val="11"/>
        <color theme="1"/>
        <rFont val="Tahoma"/>
        <family val="2"/>
      </rPr>
      <t>Ld(mm)</t>
    </r>
    <phoneticPr fontId="4" type="noConversion"/>
  </si>
  <si>
    <r>
      <rPr>
        <sz val="11"/>
        <color theme="1"/>
        <rFont val="宋体"/>
        <family val="3"/>
        <charset val="134"/>
      </rPr>
      <t>每分钟往复次数</t>
    </r>
    <r>
      <rPr>
        <sz val="11"/>
        <color theme="1"/>
        <rFont val="Tahoma"/>
        <family val="2"/>
      </rPr>
      <t>N</t>
    </r>
    <phoneticPr fontId="4" type="noConversion"/>
  </si>
  <si>
    <r>
      <rPr>
        <sz val="11"/>
        <color theme="1"/>
        <rFont val="宋体"/>
        <family val="3"/>
        <charset val="134"/>
      </rPr>
      <t>班时</t>
    </r>
    <r>
      <rPr>
        <sz val="11"/>
        <color theme="1"/>
        <rFont val="Tahoma"/>
        <family val="2"/>
      </rPr>
      <t>*</t>
    </r>
    <r>
      <rPr>
        <sz val="11"/>
        <color theme="1"/>
        <rFont val="宋体"/>
        <family val="3"/>
        <charset val="134"/>
      </rPr>
      <t>天数</t>
    </r>
    <r>
      <rPr>
        <sz val="11"/>
        <color theme="1"/>
        <rFont val="Tahoma"/>
        <family val="2"/>
      </rPr>
      <t>*</t>
    </r>
    <r>
      <rPr>
        <sz val="11"/>
        <color theme="1"/>
        <rFont val="宋体"/>
        <family val="3"/>
        <charset val="134"/>
      </rPr>
      <t>年数</t>
    </r>
    <phoneticPr fontId="4" type="noConversion"/>
  </si>
  <si>
    <t>单个轴承承受载荷P(N)</t>
    <phoneticPr fontId="4" type="noConversion"/>
  </si>
  <si>
    <r>
      <rPr>
        <sz val="11"/>
        <color theme="1"/>
        <rFont val="宋体"/>
        <family val="3"/>
        <charset val="134"/>
      </rPr>
      <t>平均速度</t>
    </r>
    <r>
      <rPr>
        <sz val="11"/>
        <color theme="1"/>
        <rFont val="Tahoma"/>
        <family val="2"/>
      </rPr>
      <t>v(m/min)</t>
    </r>
    <phoneticPr fontId="4" type="noConversion"/>
  </si>
  <si>
    <t>表1 负载条件系数fw</t>
    <phoneticPr fontId="4" type="noConversion"/>
  </si>
  <si>
    <t>负载条件</t>
    <phoneticPr fontId="4" type="noConversion"/>
  </si>
  <si>
    <t>fw</t>
    <phoneticPr fontId="4" type="noConversion"/>
  </si>
  <si>
    <t>无振动无冲击</t>
    <phoneticPr fontId="4" type="noConversion"/>
  </si>
  <si>
    <t>微小振动或冲击</t>
    <phoneticPr fontId="4" type="noConversion"/>
  </si>
  <si>
    <t>强振动或冲击</t>
    <phoneticPr fontId="4" type="noConversion"/>
  </si>
  <si>
    <t>v(m/min)</t>
    <phoneticPr fontId="4" type="noConversion"/>
  </si>
  <si>
    <r>
      <rPr>
        <sz val="11"/>
        <color theme="1"/>
        <rFont val="宋体"/>
        <family val="3"/>
        <charset val="134"/>
      </rPr>
      <t>≤</t>
    </r>
    <r>
      <rPr>
        <sz val="11"/>
        <color theme="1"/>
        <rFont val="Tahoma"/>
        <family val="2"/>
      </rPr>
      <t>15</t>
    </r>
    <phoneticPr fontId="4" type="noConversion"/>
  </si>
  <si>
    <t>15~60</t>
    <phoneticPr fontId="4" type="noConversion"/>
  </si>
  <si>
    <r>
      <rPr>
        <sz val="11"/>
        <color theme="1"/>
        <rFont val="宋体"/>
        <family val="3"/>
        <charset val="134"/>
      </rPr>
      <t>＞</t>
    </r>
    <r>
      <rPr>
        <sz val="11"/>
        <color theme="1"/>
        <rFont val="Tahoma"/>
        <family val="2"/>
      </rPr>
      <t>60</t>
    </r>
    <phoneticPr fontId="4" type="noConversion"/>
  </si>
  <si>
    <t>1.0~1.5</t>
    <phoneticPr fontId="4" type="noConversion"/>
  </si>
  <si>
    <t>1.5~2.0</t>
    <phoneticPr fontId="4" type="noConversion"/>
  </si>
  <si>
    <t>2.0~4.0</t>
    <phoneticPr fontId="4" type="noConversion"/>
  </si>
  <si>
    <r>
      <rPr>
        <sz val="11"/>
        <color theme="1"/>
        <rFont val="宋体"/>
        <family val="3"/>
        <charset val="134"/>
      </rPr>
      <t>负载条件系数</t>
    </r>
    <r>
      <rPr>
        <sz val="11"/>
        <color theme="1"/>
        <rFont val="Tahoma"/>
        <family val="2"/>
      </rPr>
      <t>fw</t>
    </r>
    <phoneticPr fontId="4" type="noConversion"/>
  </si>
  <si>
    <r>
      <rPr>
        <sz val="11"/>
        <color theme="1"/>
        <rFont val="宋体"/>
        <family val="3"/>
        <charset val="134"/>
      </rPr>
      <t>光轴硬度</t>
    </r>
    <r>
      <rPr>
        <sz val="11"/>
        <color theme="1"/>
        <rFont val="Tahoma"/>
        <family val="2"/>
      </rPr>
      <t>H(HRC)</t>
    </r>
    <phoneticPr fontId="4" type="noConversion"/>
  </si>
  <si>
    <r>
      <rPr>
        <sz val="11"/>
        <color theme="1"/>
        <rFont val="宋体"/>
        <family val="3"/>
        <charset val="134"/>
      </rPr>
      <t>一般</t>
    </r>
    <r>
      <rPr>
        <sz val="11"/>
        <color theme="1"/>
        <rFont val="Tahoma"/>
        <family val="2"/>
      </rPr>
      <t>60</t>
    </r>
    <r>
      <rPr>
        <sz val="11"/>
        <color theme="1"/>
        <rFont val="宋体"/>
        <family val="3"/>
        <charset val="134"/>
      </rPr>
      <t>左右</t>
    </r>
    <phoneticPr fontId="4" type="noConversion"/>
  </si>
  <si>
    <r>
      <rPr>
        <sz val="11"/>
        <color theme="1"/>
        <rFont val="宋体"/>
        <family val="3"/>
        <charset val="134"/>
      </rPr>
      <t>硬度系数</t>
    </r>
    <r>
      <rPr>
        <sz val="11"/>
        <color theme="1"/>
        <rFont val="Tahoma"/>
        <family val="2"/>
      </rPr>
      <t>f</t>
    </r>
    <r>
      <rPr>
        <vertAlign val="subscript"/>
        <sz val="14"/>
        <color theme="1"/>
        <rFont val="Tahoma"/>
        <family val="2"/>
      </rPr>
      <t>H</t>
    </r>
    <phoneticPr fontId="4" type="noConversion"/>
  </si>
  <si>
    <r>
      <rPr>
        <sz val="11"/>
        <color theme="1"/>
        <rFont val="宋体"/>
        <family val="3"/>
        <charset val="134"/>
      </rPr>
      <t>温度系数</t>
    </r>
    <r>
      <rPr>
        <sz val="11"/>
        <color theme="1"/>
        <rFont val="Tahoma"/>
        <family val="2"/>
      </rPr>
      <t>f</t>
    </r>
    <r>
      <rPr>
        <vertAlign val="subscript"/>
        <sz val="14"/>
        <color theme="1"/>
        <rFont val="Tahoma"/>
        <family val="2"/>
      </rPr>
      <t>T</t>
    </r>
    <phoneticPr fontId="4" type="noConversion"/>
  </si>
  <si>
    <r>
      <rPr>
        <sz val="11"/>
        <color theme="1"/>
        <rFont val="宋体"/>
        <family val="3"/>
        <charset val="134"/>
      </rPr>
      <t>接触系数</t>
    </r>
    <r>
      <rPr>
        <sz val="11"/>
        <color theme="1"/>
        <rFont val="Tahoma"/>
        <family val="2"/>
      </rPr>
      <t>fc</t>
    </r>
    <phoneticPr fontId="4" type="noConversion"/>
  </si>
  <si>
    <t>表2 接触系数fc</t>
    <phoneticPr fontId="4" type="noConversion"/>
  </si>
  <si>
    <t>fc</t>
    <phoneticPr fontId="4" type="noConversion"/>
  </si>
  <si>
    <r>
      <rPr>
        <sz val="11"/>
        <color theme="1"/>
        <rFont val="宋体"/>
        <family val="3"/>
        <charset val="134"/>
      </rPr>
      <t>≥</t>
    </r>
    <r>
      <rPr>
        <sz val="11"/>
        <color theme="1"/>
        <rFont val="Tahoma"/>
        <family val="2"/>
      </rPr>
      <t>6</t>
    </r>
    <phoneticPr fontId="4" type="noConversion"/>
  </si>
  <si>
    <r>
      <rPr>
        <sz val="11"/>
        <color theme="1"/>
        <rFont val="宋体"/>
        <family val="3"/>
        <charset val="134"/>
      </rPr>
      <t>导轨温度</t>
    </r>
    <r>
      <rPr>
        <sz val="11"/>
        <color theme="1"/>
        <rFont val="Tahoma"/>
        <family val="2"/>
      </rPr>
      <t>T(</t>
    </r>
    <r>
      <rPr>
        <sz val="11"/>
        <color theme="1"/>
        <rFont val="宋体"/>
        <family val="3"/>
        <charset val="134"/>
      </rPr>
      <t>℃</t>
    </r>
    <r>
      <rPr>
        <sz val="11"/>
        <color theme="1"/>
        <rFont val="Tahoma"/>
        <family val="2"/>
      </rPr>
      <t>)</t>
    </r>
    <phoneticPr fontId="4" type="noConversion"/>
  </si>
  <si>
    <t>每根轴上最多轴承数</t>
    <phoneticPr fontId="4" type="noConversion"/>
  </si>
  <si>
    <t>每根导轨上最多轴承数</t>
    <phoneticPr fontId="4" type="noConversion"/>
  </si>
  <si>
    <r>
      <rPr>
        <sz val="11"/>
        <color theme="1"/>
        <rFont val="宋体"/>
        <family val="3"/>
        <charset val="134"/>
      </rPr>
      <t>表</t>
    </r>
    <r>
      <rPr>
        <sz val="11"/>
        <color theme="1"/>
        <rFont val="Tahoma"/>
        <family val="2"/>
      </rPr>
      <t>2</t>
    </r>
    <phoneticPr fontId="4" type="noConversion"/>
  </si>
  <si>
    <t>滚动体类型</t>
    <phoneticPr fontId="4" type="noConversion"/>
  </si>
  <si>
    <t>滚珠</t>
  </si>
  <si>
    <r>
      <rPr>
        <sz val="11"/>
        <color theme="1"/>
        <rFont val="宋体"/>
        <family val="3"/>
        <charset val="134"/>
      </rPr>
      <t>计算动载荷</t>
    </r>
    <r>
      <rPr>
        <sz val="11"/>
        <color theme="1"/>
        <rFont val="Tahoma"/>
        <family val="2"/>
      </rPr>
      <t>C(N)</t>
    </r>
    <phoneticPr fontId="4" type="noConversion"/>
  </si>
  <si>
    <r>
      <rPr>
        <sz val="10"/>
        <color theme="1"/>
        <rFont val="宋体"/>
        <family val="3"/>
        <charset val="134"/>
      </rPr>
      <t>已放大</t>
    </r>
    <r>
      <rPr>
        <sz val="10"/>
        <color theme="1"/>
        <rFont val="Tahoma"/>
        <family val="2"/>
      </rPr>
      <t>1.2</t>
    </r>
    <r>
      <rPr>
        <sz val="10"/>
        <color theme="1"/>
        <rFont val="宋体"/>
        <family val="3"/>
        <charset val="134"/>
      </rPr>
      <t>倍安全系数</t>
    </r>
    <phoneticPr fontId="4" type="noConversion"/>
  </si>
  <si>
    <t>型号选择</t>
    <phoneticPr fontId="4" type="noConversion"/>
  </si>
  <si>
    <r>
      <rPr>
        <sz val="12"/>
        <color theme="1"/>
        <rFont val="宋体"/>
        <family val="3"/>
        <charset val="134"/>
      </rPr>
      <t>文档信息
编写：图惜
参考：《直线轴承选型》</t>
    </r>
    <r>
      <rPr>
        <sz val="12"/>
        <color theme="1"/>
        <rFont val="Tahoma"/>
        <family val="2"/>
      </rPr>
      <t>——(</t>
    </r>
    <r>
      <rPr>
        <sz val="12"/>
        <color theme="1"/>
        <rFont val="宋体"/>
        <family val="3"/>
        <charset val="134"/>
      </rPr>
      <t>前桥教育</t>
    </r>
    <r>
      <rPr>
        <sz val="12"/>
        <color theme="1"/>
        <rFont val="Tahoma"/>
        <family val="2"/>
      </rPr>
      <t xml:space="preserve">) </t>
    </r>
    <r>
      <rPr>
        <sz val="12"/>
        <color theme="1"/>
        <rFont val="宋体"/>
        <family val="3"/>
        <charset val="134"/>
      </rPr>
      <t xml:space="preserve">宣言
</t>
    </r>
    <r>
      <rPr>
        <sz val="12"/>
        <color theme="1"/>
        <rFont val="Tahoma"/>
        <family val="2"/>
      </rPr>
      <t xml:space="preserve">          </t>
    </r>
    <r>
      <rPr>
        <sz val="12"/>
        <color theme="1"/>
        <rFont val="Tahoma"/>
        <family val="2"/>
      </rPr>
      <t xml:space="preserve">                                                                                             
                                                                              2018.8.15   </t>
    </r>
    <phoneticPr fontId="4" type="noConversion"/>
  </si>
  <si>
    <t>对照动载荷查样本，
轴承的额定动载荷
必须＞计算动载荷</t>
    <phoneticPr fontId="4" type="noConversion"/>
  </si>
  <si>
    <r>
      <t>1</t>
    </r>
    <r>
      <rPr>
        <sz val="11"/>
        <color theme="1"/>
        <rFont val="宋体"/>
        <family val="3"/>
        <charset val="134"/>
      </rPr>
      <t xml:space="preserve">，直线轴承选
</t>
    </r>
    <r>
      <rPr>
        <sz val="11"/>
        <color theme="1"/>
        <rFont val="Tahoma"/>
        <family val="2"/>
      </rPr>
      <t xml:space="preserve">     </t>
    </r>
    <r>
      <rPr>
        <sz val="11"/>
        <color theme="1"/>
        <rFont val="宋体"/>
        <family val="3"/>
        <charset val="134"/>
      </rPr>
      <t>型计算</t>
    </r>
    <phoneticPr fontId="4" type="noConversion"/>
  </si>
  <si>
    <r>
      <rPr>
        <sz val="11"/>
        <color theme="1"/>
        <rFont val="宋体"/>
        <family val="3"/>
        <charset val="134"/>
      </rPr>
      <t>附图</t>
    </r>
    <r>
      <rPr>
        <sz val="11"/>
        <color theme="1"/>
        <rFont val="Tahoma"/>
        <family val="2"/>
      </rPr>
      <t xml:space="preserve">2 </t>
    </r>
    <r>
      <rPr>
        <sz val="11"/>
        <color theme="1"/>
        <rFont val="宋体"/>
        <family val="3"/>
        <charset val="134"/>
      </rPr>
      <t>滚珠直线轴承寿命计算公式（计算动载荷从中演变而来）</t>
    </r>
    <phoneticPr fontId="4" type="noConversion"/>
  </si>
  <si>
    <t>附图1 硬度系数和温度系数</t>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</si>
  <si>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，为使直线运动系列达到最佳的承</t>
    </r>
    <r>
      <rPr>
        <sz val="11"/>
        <color theme="1"/>
        <rFont val="Tahoma"/>
        <family val="2"/>
      </rPr>
      <t xml:space="preserve"> </t>
    </r>
    <r>
      <rPr>
        <sz val="11"/>
        <color theme="1"/>
        <rFont val="宋体"/>
        <family val="3"/>
        <charset val="134"/>
      </rPr>
      <t>载能力，导轨的硬度应该达到</t>
    </r>
    <r>
      <rPr>
        <sz val="11"/>
        <color theme="1"/>
        <rFont val="Tahoma"/>
        <family val="2"/>
      </rPr>
      <t>HRC58</t>
    </r>
    <r>
      <rPr>
        <sz val="11"/>
        <color theme="1"/>
        <rFont val="宋体"/>
        <family val="3"/>
        <charset val="134"/>
      </rPr>
      <t>～</t>
    </r>
    <r>
      <rPr>
        <sz val="11"/>
        <color theme="1"/>
        <rFont val="Tahoma"/>
        <family val="2"/>
      </rPr>
      <t>60</t>
    </r>
    <r>
      <rPr>
        <sz val="11"/>
        <color theme="1"/>
        <rFont val="宋体"/>
        <family val="3"/>
        <charset val="134"/>
      </rPr>
      <t>。若硬度低于此范围，基本额定动载荷和基本额定静载荷将会降低</t>
    </r>
    <r>
      <rPr>
        <sz val="11"/>
        <color theme="1"/>
        <rFont val="Tahoma"/>
        <family val="2"/>
      </rPr>
      <t xml:space="preserve">
    2</t>
    </r>
    <r>
      <rPr>
        <sz val="11"/>
        <color theme="1"/>
        <rFont val="宋体"/>
        <family val="3"/>
        <charset val="134"/>
      </rPr>
      <t>，若直线轴承使用的环境温度高于</t>
    </r>
    <r>
      <rPr>
        <sz val="11"/>
        <color theme="1"/>
        <rFont val="Tahoma"/>
        <family val="2"/>
      </rPr>
      <t>100</t>
    </r>
    <r>
      <rPr>
        <sz val="11"/>
        <color theme="1"/>
        <rFont val="宋体"/>
        <family val="3"/>
        <charset val="134"/>
      </rPr>
      <t>○</t>
    </r>
    <r>
      <rPr>
        <sz val="11"/>
        <color theme="1"/>
        <rFont val="Tahoma"/>
        <family val="2"/>
      </rPr>
      <t>C</t>
    </r>
    <r>
      <rPr>
        <sz val="11"/>
        <color theme="1"/>
        <rFont val="宋体"/>
        <family val="3"/>
        <charset val="134"/>
      </rPr>
      <t>就要考虑与环境温度有关的温度系数</t>
    </r>
    <r>
      <rPr>
        <sz val="11"/>
        <color theme="1"/>
        <rFont val="Tahoma"/>
        <family val="2"/>
      </rPr>
      <t xml:space="preserve"> </t>
    </r>
    <r>
      <rPr>
        <sz val="11"/>
        <color theme="1"/>
        <rFont val="宋体"/>
        <family val="3"/>
        <charset val="134"/>
      </rPr>
      <t xml:space="preserve">
</t>
    </r>
    <r>
      <rPr>
        <sz val="11"/>
        <color theme="1"/>
        <rFont val="Tahoma"/>
        <family val="2"/>
      </rPr>
      <t xml:space="preserve">    3</t>
    </r>
    <r>
      <rPr>
        <sz val="11"/>
        <color theme="1"/>
        <rFont val="宋体"/>
        <family val="3"/>
        <charset val="134"/>
      </rPr>
      <t>，硬度系数和温度系数如附图</t>
    </r>
    <r>
      <rPr>
        <sz val="11"/>
        <color theme="1"/>
        <rFont val="Tahoma"/>
        <family val="2"/>
      </rPr>
      <t>1</t>
    </r>
    <r>
      <rPr>
        <sz val="11"/>
        <color theme="1"/>
        <rFont val="宋体"/>
        <family val="3"/>
        <charset val="134"/>
      </rPr>
      <t>，在本软件中已转换为公式。</t>
    </r>
    <phoneticPr fontId="4" type="noConversion"/>
  </si>
  <si>
    <r>
      <rPr>
        <sz val="10"/>
        <color theme="1"/>
        <rFont val="宋体"/>
        <family val="3"/>
        <charset val="134"/>
      </rPr>
      <t>公式见附图</t>
    </r>
    <r>
      <rPr>
        <sz val="10"/>
        <color theme="1"/>
        <rFont val="Tahoma"/>
        <family val="2"/>
      </rPr>
      <t>2</t>
    </r>
    <phoneticPr fontId="4" type="noConversion"/>
  </si>
  <si>
    <r>
      <rPr>
        <sz val="11"/>
        <color theme="1"/>
        <rFont val="宋体"/>
        <family val="3"/>
        <charset val="134"/>
      </rPr>
      <t>支撑轴</t>
    </r>
    <r>
      <rPr>
        <sz val="11"/>
        <color theme="1"/>
        <rFont val="Tahoma"/>
        <family val="2"/>
      </rPr>
      <t>(</t>
    </r>
    <r>
      <rPr>
        <sz val="11"/>
        <color theme="1"/>
        <rFont val="宋体"/>
        <family val="3"/>
        <charset val="134"/>
      </rPr>
      <t>导轨</t>
    </r>
    <r>
      <rPr>
        <sz val="11"/>
        <color theme="1"/>
        <rFont val="Tahoma"/>
        <family val="2"/>
      </rPr>
      <t>)</t>
    </r>
    <r>
      <rPr>
        <sz val="11"/>
        <color theme="1"/>
        <rFont val="宋体"/>
        <family val="3"/>
        <charset val="134"/>
      </rPr>
      <t>数量</t>
    </r>
    <r>
      <rPr>
        <sz val="11"/>
        <color theme="1"/>
        <rFont val="Tahoma"/>
        <family val="2"/>
      </rPr>
      <t>n</t>
    </r>
    <phoneticPr fontId="4" type="noConversion"/>
  </si>
  <si>
    <t>已知条件：滚动体类型、负载重量、支撑轴数量、设计寿命、行程等</t>
    <phoneticPr fontId="4" type="noConversion"/>
  </si>
  <si>
    <r>
      <rPr>
        <sz val="11"/>
        <color theme="1"/>
        <rFont val="宋体"/>
        <family val="3"/>
        <charset val="134"/>
      </rPr>
      <t>设计寿命</t>
    </r>
    <r>
      <rPr>
        <sz val="11"/>
        <color theme="1"/>
        <rFont val="Tahoma"/>
        <family val="2"/>
      </rPr>
      <t>Lh(h)</t>
    </r>
    <phoneticPr fontId="4" type="noConversion"/>
  </si>
  <si>
    <r>
      <rPr>
        <sz val="11"/>
        <color theme="1"/>
        <rFont val="宋体"/>
        <family val="3"/>
        <charset val="134"/>
      </rPr>
      <t>一般＜</t>
    </r>
    <r>
      <rPr>
        <sz val="11"/>
        <color theme="1"/>
        <rFont val="Tahoma"/>
        <family val="2"/>
      </rPr>
      <t>100</t>
    </r>
    <r>
      <rPr>
        <sz val="11"/>
        <color theme="1"/>
        <rFont val="宋体"/>
        <family val="3"/>
        <charset val="134"/>
      </rPr>
      <t>，填</t>
    </r>
    <r>
      <rPr>
        <sz val="11"/>
        <color theme="1"/>
        <rFont val="Tahoma"/>
        <family val="2"/>
      </rPr>
      <t>100</t>
    </r>
    <r>
      <rPr>
        <sz val="11"/>
        <color theme="1"/>
        <rFont val="宋体"/>
        <family val="3"/>
        <charset val="134"/>
      </rPr>
      <t>即可</t>
    </r>
    <phoneticPr fontId="4" type="noConversion"/>
  </si>
  <si>
    <r>
      <rPr>
        <sz val="11"/>
        <color theme="1"/>
        <rFont val="宋体"/>
        <family val="3"/>
        <charset val="134"/>
      </rPr>
      <t>一般都是</t>
    </r>
    <r>
      <rPr>
        <sz val="11"/>
        <color theme="1"/>
        <rFont val="Tahoma"/>
        <family val="2"/>
      </rPr>
      <t>0.2</t>
    </r>
    <phoneticPr fontId="4" type="noConversion"/>
  </si>
  <si>
    <r>
      <rPr>
        <sz val="11"/>
        <color theme="1"/>
        <rFont val="宋体"/>
        <family val="3"/>
        <charset val="134"/>
      </rPr>
      <t>计算额定寿命</t>
    </r>
    <r>
      <rPr>
        <sz val="11"/>
        <color theme="1"/>
        <rFont val="Tahoma"/>
        <family val="2"/>
      </rPr>
      <t>L(km)</t>
    </r>
    <phoneticPr fontId="4" type="noConversion"/>
  </si>
  <si>
    <r>
      <rPr>
        <sz val="11"/>
        <color theme="1"/>
        <rFont val="宋体"/>
        <family val="3"/>
        <charset val="134"/>
      </rPr>
      <t>计算额定寿命</t>
    </r>
    <r>
      <rPr>
        <sz val="11"/>
        <color theme="1"/>
        <rFont val="Tahoma"/>
        <family val="2"/>
      </rPr>
      <t>L</t>
    </r>
    <phoneticPr fontId="4" type="noConversion"/>
  </si>
  <si>
    <r>
      <rPr>
        <sz val="11"/>
        <color theme="1"/>
        <rFont val="宋体"/>
        <family val="3"/>
        <charset val="134"/>
      </rPr>
      <t>公式见附图</t>
    </r>
    <r>
      <rPr>
        <sz val="11"/>
        <color theme="1"/>
        <rFont val="Tahoma"/>
        <family val="2"/>
      </rPr>
      <t>2</t>
    </r>
    <phoneticPr fontId="4" type="noConversion"/>
  </si>
  <si>
    <r>
      <rPr>
        <sz val="11"/>
        <color theme="1"/>
        <rFont val="宋体"/>
        <family val="3"/>
        <charset val="134"/>
      </rPr>
      <t>滑块最大受力</t>
    </r>
    <r>
      <rPr>
        <sz val="11"/>
        <color theme="1"/>
        <rFont val="Tahoma"/>
        <family val="2"/>
      </rPr>
      <t>Pc</t>
    </r>
    <phoneticPr fontId="4" type="noConversion"/>
  </si>
  <si>
    <r>
      <rPr>
        <sz val="11"/>
        <color theme="1"/>
        <rFont val="宋体"/>
        <family val="3"/>
        <charset val="134"/>
      </rPr>
      <t>导轨温度</t>
    </r>
    <r>
      <rPr>
        <sz val="11"/>
        <color theme="1"/>
        <rFont val="Tahoma"/>
        <family val="2"/>
      </rPr>
      <t>T(</t>
    </r>
    <r>
      <rPr>
        <sz val="11"/>
        <color theme="1"/>
        <rFont val="宋体"/>
        <family val="3"/>
        <charset val="134"/>
      </rPr>
      <t>℃</t>
    </r>
    <r>
      <rPr>
        <sz val="11"/>
        <color theme="1"/>
        <rFont val="Tahoma"/>
        <family val="2"/>
      </rPr>
      <t>)</t>
    </r>
    <phoneticPr fontId="4" type="noConversion"/>
  </si>
  <si>
    <r>
      <t>2</t>
    </r>
    <r>
      <rPr>
        <sz val="11"/>
        <color theme="1"/>
        <rFont val="宋体"/>
        <family val="3"/>
        <charset val="134"/>
      </rPr>
      <t>，计算加速度</t>
    </r>
    <r>
      <rPr>
        <sz val="11"/>
        <color theme="1"/>
        <rFont val="Tahoma"/>
        <family val="2"/>
      </rPr>
      <t xml:space="preserve">    </t>
    </r>
    <phoneticPr fontId="4" type="noConversion"/>
  </si>
  <si>
    <r>
      <t>3</t>
    </r>
    <r>
      <rPr>
        <sz val="11"/>
        <color theme="1"/>
        <rFont val="宋体"/>
        <family val="3"/>
        <charset val="134"/>
      </rPr>
      <t xml:space="preserve">，确定重心位
</t>
    </r>
    <r>
      <rPr>
        <sz val="11"/>
        <color theme="1"/>
        <rFont val="Tahoma"/>
        <family val="2"/>
      </rPr>
      <t xml:space="preserve">     </t>
    </r>
    <r>
      <rPr>
        <sz val="11"/>
        <color theme="1"/>
        <rFont val="宋体"/>
        <family val="3"/>
        <charset val="134"/>
      </rPr>
      <t xml:space="preserve">置，计算最
</t>
    </r>
    <r>
      <rPr>
        <sz val="11"/>
        <color theme="1"/>
        <rFont val="Tahoma"/>
        <family val="2"/>
      </rPr>
      <t xml:space="preserve">     </t>
    </r>
    <r>
      <rPr>
        <sz val="11"/>
        <color theme="1"/>
        <rFont val="宋体"/>
        <family val="3"/>
        <charset val="134"/>
      </rPr>
      <t>大负载力</t>
    </r>
    <phoneticPr fontId="4" type="noConversion"/>
  </si>
  <si>
    <r>
      <t>4</t>
    </r>
    <r>
      <rPr>
        <sz val="11"/>
        <color theme="1"/>
        <rFont val="宋体"/>
        <family val="3"/>
        <charset val="134"/>
      </rPr>
      <t>，选型</t>
    </r>
    <phoneticPr fontId="4" type="noConversion"/>
  </si>
  <si>
    <r>
      <t>1</t>
    </r>
    <r>
      <rPr>
        <sz val="11"/>
        <color theme="1"/>
        <rFont val="宋体"/>
        <family val="3"/>
        <charset val="134"/>
      </rPr>
      <t>，工况系</t>
    </r>
    <r>
      <rPr>
        <sz val="11"/>
        <color theme="1"/>
        <rFont val="宋体"/>
        <family val="3"/>
        <charset val="134"/>
      </rPr>
      <t>数</t>
    </r>
    <phoneticPr fontId="4" type="noConversion"/>
  </si>
  <si>
    <r>
      <rPr>
        <sz val="11"/>
        <color theme="1"/>
        <rFont val="宋体"/>
        <family val="3"/>
        <charset val="134"/>
      </rPr>
      <t>见表</t>
    </r>
    <r>
      <rPr>
        <sz val="11"/>
        <color theme="1"/>
        <rFont val="Tahoma"/>
        <family val="2"/>
      </rPr>
      <t>3</t>
    </r>
    <phoneticPr fontId="4" type="noConversion"/>
  </si>
  <si>
    <r>
      <rPr>
        <sz val="11"/>
        <color theme="1"/>
        <rFont val="宋体"/>
        <family val="3"/>
        <charset val="134"/>
      </rPr>
      <t>表</t>
    </r>
    <r>
      <rPr>
        <sz val="11"/>
        <color theme="1"/>
        <rFont val="Tahoma"/>
        <family val="2"/>
      </rPr>
      <t xml:space="preserve">2 </t>
    </r>
    <r>
      <rPr>
        <sz val="11"/>
        <color theme="1"/>
        <rFont val="宋体"/>
        <family val="3"/>
        <charset val="134"/>
      </rPr>
      <t>重心位置与负载力计算</t>
    </r>
    <phoneticPr fontId="4" type="noConversion"/>
  </si>
  <si>
    <t>微小</t>
    <phoneticPr fontId="4" type="noConversion"/>
  </si>
  <si>
    <t>60~120</t>
    <phoneticPr fontId="4" type="noConversion"/>
  </si>
  <si>
    <r>
      <rPr>
        <sz val="11"/>
        <color theme="1"/>
        <rFont val="宋体"/>
        <family val="3"/>
        <charset val="134"/>
      </rPr>
      <t>＞</t>
    </r>
    <r>
      <rPr>
        <sz val="11"/>
        <color theme="1"/>
        <rFont val="Tahoma"/>
        <family val="2"/>
      </rPr>
      <t>120</t>
    </r>
    <phoneticPr fontId="4" type="noConversion"/>
  </si>
  <si>
    <t>1.0~1.2</t>
    <phoneticPr fontId="4" type="noConversion"/>
  </si>
  <si>
    <t>1.2~1.5</t>
    <phoneticPr fontId="4" type="noConversion"/>
  </si>
  <si>
    <t>1.5~2.0</t>
    <phoneticPr fontId="4" type="noConversion"/>
  </si>
  <si>
    <t>2.0~3.5</t>
    <phoneticPr fontId="4" type="noConversion"/>
  </si>
  <si>
    <t>振动与冲击</t>
    <phoneticPr fontId="4" type="noConversion"/>
  </si>
  <si>
    <r>
      <rPr>
        <sz val="11"/>
        <color theme="1"/>
        <rFont val="宋体"/>
        <family val="3"/>
        <charset val="134"/>
      </rPr>
      <t>表</t>
    </r>
    <r>
      <rPr>
        <sz val="11"/>
        <color theme="1"/>
        <rFont val="Tahoma"/>
        <family val="2"/>
      </rPr>
      <t>3 THK</t>
    </r>
    <r>
      <rPr>
        <sz val="11"/>
        <color theme="1"/>
        <rFont val="宋体"/>
        <family val="3"/>
        <charset val="134"/>
      </rPr>
      <t>导轨滑块样本截图</t>
    </r>
    <phoneticPr fontId="4" type="noConversion"/>
  </si>
  <si>
    <r>
      <rPr>
        <sz val="11"/>
        <color theme="1"/>
        <rFont val="宋体"/>
        <family val="3"/>
        <charset val="134"/>
      </rPr>
      <t>附图</t>
    </r>
    <r>
      <rPr>
        <sz val="11"/>
        <color theme="1"/>
        <rFont val="Tahoma"/>
        <family val="2"/>
      </rPr>
      <t xml:space="preserve">3 </t>
    </r>
    <r>
      <rPr>
        <sz val="11"/>
        <color theme="1"/>
        <rFont val="宋体"/>
        <family val="3"/>
        <charset val="134"/>
      </rPr>
      <t>寿命与动载荷公式</t>
    </r>
    <phoneticPr fontId="4" type="noConversion"/>
  </si>
  <si>
    <r>
      <rPr>
        <sz val="11"/>
        <color theme="1"/>
        <rFont val="宋体"/>
        <family val="3"/>
        <charset val="134"/>
      </rPr>
      <t>附图</t>
    </r>
    <r>
      <rPr>
        <sz val="11"/>
        <color theme="1"/>
        <rFont val="Tahoma"/>
        <family val="2"/>
      </rPr>
      <t xml:space="preserve">2 </t>
    </r>
    <r>
      <rPr>
        <sz val="11"/>
        <color theme="1"/>
        <rFont val="宋体"/>
        <family val="3"/>
        <charset val="134"/>
      </rPr>
      <t>滚珠直线轴承寿命计算公式</t>
    </r>
    <phoneticPr fontId="4" type="noConversion"/>
  </si>
  <si>
    <r>
      <rPr>
        <sz val="11"/>
        <color theme="1"/>
        <rFont val="宋体"/>
        <family val="3"/>
        <charset val="134"/>
      </rPr>
      <t>对免润滑计算</t>
    </r>
    <r>
      <rPr>
        <sz val="11"/>
        <color theme="1"/>
        <rFont val="Tahoma"/>
        <family val="2"/>
      </rPr>
      <t>F0</t>
    </r>
    <phoneticPr fontId="4" type="noConversion"/>
  </si>
  <si>
    <r>
      <rPr>
        <sz val="11"/>
        <color theme="1"/>
        <rFont val="宋体"/>
        <family val="3"/>
        <charset val="134"/>
      </rPr>
      <t>运行行程</t>
    </r>
    <r>
      <rPr>
        <sz val="11"/>
        <color theme="1"/>
        <rFont val="Tahoma"/>
        <family val="2"/>
      </rPr>
      <t>L</t>
    </r>
    <r>
      <rPr>
        <sz val="11"/>
        <color theme="1"/>
        <rFont val="宋体"/>
        <family val="3"/>
        <charset val="134"/>
      </rPr>
      <t>s</t>
    </r>
    <r>
      <rPr>
        <sz val="11"/>
        <color theme="1"/>
        <rFont val="Tahoma"/>
        <family val="2"/>
      </rPr>
      <t>(mm)</t>
    </r>
    <phoneticPr fontId="4" type="noConversion"/>
  </si>
  <si>
    <t>含电器反应时间</t>
    <phoneticPr fontId="4" type="noConversion"/>
  </si>
  <si>
    <r>
      <rPr>
        <sz val="11"/>
        <color theme="1"/>
        <rFont val="宋体"/>
        <family val="3"/>
        <charset val="134"/>
      </rPr>
      <t>启动加速度</t>
    </r>
    <r>
      <rPr>
        <sz val="11"/>
        <color theme="1"/>
        <rFont val="Tahoma"/>
        <family val="2"/>
      </rPr>
      <t>a1(m/s²)</t>
    </r>
    <phoneticPr fontId="4" type="noConversion"/>
  </si>
  <si>
    <r>
      <rPr>
        <sz val="11"/>
        <color theme="1"/>
        <rFont val="宋体"/>
        <family val="3"/>
        <charset val="134"/>
      </rPr>
      <t>刹车加速度</t>
    </r>
    <r>
      <rPr>
        <sz val="11"/>
        <color theme="1"/>
        <rFont val="Tahoma"/>
        <family val="2"/>
      </rPr>
      <t>a3(m/s²)</t>
    </r>
    <phoneticPr fontId="4" type="noConversion"/>
  </si>
  <si>
    <r>
      <rPr>
        <sz val="11"/>
        <color theme="1"/>
        <rFont val="宋体"/>
        <family val="3"/>
        <charset val="134"/>
      </rPr>
      <t>启动时间</t>
    </r>
    <r>
      <rPr>
        <sz val="11"/>
        <color theme="1"/>
        <rFont val="Tahoma"/>
        <family val="2"/>
      </rPr>
      <t>t1(s)</t>
    </r>
    <phoneticPr fontId="4" type="noConversion"/>
  </si>
  <si>
    <t>每往复一次静止时间tx</t>
    <phoneticPr fontId="4" type="noConversion"/>
  </si>
  <si>
    <r>
      <rPr>
        <sz val="11"/>
        <color theme="1"/>
        <rFont val="宋体"/>
        <family val="3"/>
        <charset val="134"/>
      </rPr>
      <t>刹车时间</t>
    </r>
    <r>
      <rPr>
        <sz val="11"/>
        <color theme="1"/>
        <rFont val="Tahoma"/>
        <family val="2"/>
      </rPr>
      <t>t3(s)</t>
    </r>
    <phoneticPr fontId="4" type="noConversion"/>
  </si>
  <si>
    <t>减速时</t>
    <phoneticPr fontId="4" type="noConversion"/>
  </si>
  <si>
    <r>
      <rPr>
        <sz val="11"/>
        <color rgb="FF00B0F0"/>
        <rFont val="宋体"/>
        <family val="3"/>
        <charset val="134"/>
      </rPr>
      <t>加速时</t>
    </r>
    <r>
      <rPr>
        <sz val="11"/>
        <color theme="1"/>
        <rFont val="Tahoma"/>
        <family val="2"/>
      </rPr>
      <t>P2=P3</t>
    </r>
    <phoneticPr fontId="4" type="noConversion"/>
  </si>
  <si>
    <r>
      <rPr>
        <sz val="11"/>
        <color rgb="FF00B0F0"/>
        <rFont val="宋体"/>
        <family val="3"/>
        <charset val="134"/>
      </rPr>
      <t>加速时</t>
    </r>
    <r>
      <rPr>
        <sz val="11"/>
        <color theme="1"/>
        <rFont val="Tahoma"/>
        <family val="2"/>
      </rPr>
      <t>P1=P4</t>
    </r>
    <phoneticPr fontId="4" type="noConversion"/>
  </si>
  <si>
    <r>
      <rPr>
        <sz val="11"/>
        <color rgb="FF00B0F0"/>
        <rFont val="宋体"/>
        <family val="3"/>
        <charset val="134"/>
      </rPr>
      <t>加速时</t>
    </r>
    <r>
      <rPr>
        <sz val="11"/>
        <color theme="1"/>
        <rFont val="Tahoma"/>
        <family val="2"/>
      </rPr>
      <t>P1T=P4T</t>
    </r>
    <phoneticPr fontId="4" type="noConversion"/>
  </si>
  <si>
    <r>
      <rPr>
        <sz val="11"/>
        <color rgb="FF00B0F0"/>
        <rFont val="宋体"/>
        <family val="3"/>
        <charset val="134"/>
      </rPr>
      <t>加速时</t>
    </r>
    <r>
      <rPr>
        <sz val="11"/>
        <color theme="1"/>
        <rFont val="Tahoma"/>
        <family val="2"/>
      </rPr>
      <t>P2T=P3T</t>
    </r>
    <phoneticPr fontId="4" type="noConversion"/>
  </si>
  <si>
    <t>加速时</t>
    <phoneticPr fontId="4" type="noConversion"/>
  </si>
  <si>
    <r>
      <rPr>
        <sz val="11"/>
        <color theme="9" tint="-0.499984740745262"/>
        <rFont val="宋体"/>
        <family val="3"/>
        <charset val="134"/>
      </rPr>
      <t>减速时</t>
    </r>
    <r>
      <rPr>
        <sz val="11"/>
        <color theme="1"/>
        <rFont val="Tahoma"/>
        <family val="2"/>
      </rPr>
      <t>P1=P4</t>
    </r>
    <phoneticPr fontId="4" type="noConversion"/>
  </si>
  <si>
    <r>
      <rPr>
        <sz val="11"/>
        <color theme="9" tint="-0.499984740745262"/>
        <rFont val="宋体"/>
        <family val="3"/>
        <charset val="134"/>
      </rPr>
      <t>减速时</t>
    </r>
    <r>
      <rPr>
        <sz val="11"/>
        <color theme="1"/>
        <rFont val="Tahoma"/>
        <family val="2"/>
      </rPr>
      <t>P2=P3</t>
    </r>
    <phoneticPr fontId="4" type="noConversion"/>
  </si>
  <si>
    <r>
      <rPr>
        <sz val="11"/>
        <color theme="9" tint="-0.499984740745262"/>
        <rFont val="宋体"/>
        <family val="3"/>
        <charset val="134"/>
      </rPr>
      <t>减速时</t>
    </r>
    <r>
      <rPr>
        <sz val="11"/>
        <color theme="1"/>
        <rFont val="Tahoma"/>
        <family val="2"/>
      </rPr>
      <t>P1T=P4T</t>
    </r>
    <phoneticPr fontId="4" type="noConversion"/>
  </si>
  <si>
    <r>
      <rPr>
        <sz val="11"/>
        <color theme="9" tint="-0.499984740745262"/>
        <rFont val="宋体"/>
        <family val="3"/>
        <charset val="134"/>
      </rPr>
      <t>减速时</t>
    </r>
    <r>
      <rPr>
        <sz val="11"/>
        <color theme="1"/>
        <rFont val="Tahoma"/>
        <family val="2"/>
      </rPr>
      <t>P2T=P3T</t>
    </r>
    <phoneticPr fontId="4" type="noConversion"/>
  </si>
  <si>
    <t>布局方式</t>
    <phoneticPr fontId="4" type="noConversion"/>
  </si>
  <si>
    <r>
      <rPr>
        <sz val="11"/>
        <color theme="1"/>
        <rFont val="宋体"/>
        <family val="3"/>
        <charset val="134"/>
      </rPr>
      <t>滑块距离</t>
    </r>
    <r>
      <rPr>
        <sz val="11"/>
        <color theme="1"/>
        <rFont val="Tahoma"/>
        <family val="2"/>
      </rPr>
      <t>L0</t>
    </r>
    <phoneticPr fontId="4" type="noConversion"/>
  </si>
  <si>
    <r>
      <rPr>
        <sz val="11"/>
        <color theme="1"/>
        <rFont val="宋体"/>
        <family val="3"/>
        <charset val="134"/>
      </rPr>
      <t>负载重心位置</t>
    </r>
    <r>
      <rPr>
        <sz val="11"/>
        <color theme="1"/>
        <rFont val="Tahoma"/>
        <family val="2"/>
      </rPr>
      <t>L2</t>
    </r>
    <phoneticPr fontId="4" type="noConversion"/>
  </si>
  <si>
    <r>
      <rPr>
        <sz val="11"/>
        <color theme="1"/>
        <rFont val="宋体"/>
        <family val="3"/>
        <charset val="134"/>
      </rPr>
      <t>负载重心位置</t>
    </r>
    <r>
      <rPr>
        <sz val="11"/>
        <color theme="1"/>
        <rFont val="Tahoma"/>
        <family val="2"/>
      </rPr>
      <t>L3</t>
    </r>
    <phoneticPr fontId="4" type="noConversion"/>
  </si>
  <si>
    <t>单程</t>
    <phoneticPr fontId="4" type="noConversion"/>
  </si>
  <si>
    <t>单程</t>
    <phoneticPr fontId="4" type="noConversion"/>
  </si>
  <si>
    <t>直线轴承选型向导</t>
    <phoneticPr fontId="4" type="noConversion"/>
  </si>
  <si>
    <t>直线导轨滑块</t>
    <phoneticPr fontId="4" type="noConversion"/>
  </si>
  <si>
    <t>直线轴承</t>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</si>
  <si>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，为使直线运动系列达到最佳的承载能力，导轨的硬度应该达到</t>
    </r>
    <r>
      <rPr>
        <sz val="11"/>
        <color theme="1"/>
        <rFont val="Tahoma"/>
        <family val="2"/>
      </rPr>
      <t>HRC58</t>
    </r>
    <r>
      <rPr>
        <sz val="11"/>
        <color theme="1"/>
        <rFont val="宋体"/>
        <family val="3"/>
        <charset val="134"/>
      </rPr>
      <t>～</t>
    </r>
    <r>
      <rPr>
        <sz val="11"/>
        <color theme="1"/>
        <rFont val="Tahoma"/>
        <family val="2"/>
      </rPr>
      <t>60</t>
    </r>
    <r>
      <rPr>
        <sz val="11"/>
        <color theme="1"/>
        <rFont val="宋体"/>
        <family val="3"/>
        <charset val="134"/>
      </rPr>
      <t>。若硬度低于此范围，基本额定动载荷和基本额定静载荷将会降低</t>
    </r>
    <r>
      <rPr>
        <sz val="11"/>
        <color theme="1"/>
        <rFont val="Tahoma"/>
        <family val="2"/>
      </rPr>
      <t xml:space="preserve">
    2</t>
    </r>
    <r>
      <rPr>
        <sz val="11"/>
        <color theme="1"/>
        <rFont val="宋体"/>
        <family val="3"/>
        <charset val="134"/>
      </rPr>
      <t>，若直线轴承使用的环境温度高于</t>
    </r>
    <r>
      <rPr>
        <sz val="11"/>
        <color theme="1"/>
        <rFont val="Tahoma"/>
        <family val="2"/>
      </rPr>
      <t>100</t>
    </r>
    <r>
      <rPr>
        <sz val="11"/>
        <color theme="1"/>
        <rFont val="宋体"/>
        <family val="3"/>
        <charset val="134"/>
      </rPr>
      <t>°</t>
    </r>
    <r>
      <rPr>
        <sz val="11"/>
        <color theme="1"/>
        <rFont val="Tahoma"/>
        <family val="2"/>
      </rPr>
      <t>C</t>
    </r>
    <r>
      <rPr>
        <sz val="11"/>
        <color theme="1"/>
        <rFont val="宋体"/>
        <family val="3"/>
        <charset val="134"/>
      </rPr>
      <t>就要考虑与环境温度有关的温度系数</t>
    </r>
    <r>
      <rPr>
        <sz val="11"/>
        <color theme="1"/>
        <rFont val="Tahoma"/>
        <family val="2"/>
      </rPr>
      <t xml:space="preserve"> </t>
    </r>
    <r>
      <rPr>
        <sz val="11"/>
        <color theme="1"/>
        <rFont val="宋体"/>
        <family val="3"/>
        <charset val="134"/>
      </rPr>
      <t xml:space="preserve">
</t>
    </r>
    <r>
      <rPr>
        <sz val="11"/>
        <color theme="1"/>
        <rFont val="Tahoma"/>
        <family val="2"/>
      </rPr>
      <t xml:space="preserve">    3</t>
    </r>
    <r>
      <rPr>
        <sz val="11"/>
        <color theme="1"/>
        <rFont val="宋体"/>
        <family val="3"/>
        <charset val="134"/>
      </rPr>
      <t>，硬度系数和温度系数如附图</t>
    </r>
    <r>
      <rPr>
        <sz val="11"/>
        <color theme="1"/>
        <rFont val="Tahoma"/>
        <family val="2"/>
      </rPr>
      <t>1</t>
    </r>
    <r>
      <rPr>
        <sz val="11"/>
        <color theme="1"/>
        <rFont val="宋体"/>
        <family val="3"/>
        <charset val="134"/>
      </rPr>
      <t xml:space="preserve">，在本软件中已转换为公式
</t>
    </r>
    <r>
      <rPr>
        <sz val="11"/>
        <color theme="1"/>
        <rFont val="Tahoma"/>
        <family val="2"/>
      </rPr>
      <t xml:space="preserve">    4</t>
    </r>
    <r>
      <rPr>
        <sz val="11"/>
        <color theme="1"/>
        <rFont val="宋体"/>
        <family val="3"/>
        <charset val="134"/>
      </rPr>
      <t>，一般计算步骤：先算出要求寿命和最大负载力</t>
    </r>
    <r>
      <rPr>
        <sz val="11"/>
        <color theme="1"/>
        <rFont val="Tahoma"/>
        <family val="2"/>
      </rPr>
      <t>(</t>
    </r>
    <r>
      <rPr>
        <sz val="11"/>
        <color theme="1"/>
        <rFont val="宋体"/>
        <family val="3"/>
        <charset val="134"/>
      </rPr>
      <t>外力</t>
    </r>
    <r>
      <rPr>
        <sz val="11"/>
        <color theme="1"/>
        <rFont val="Tahoma"/>
        <family val="2"/>
      </rPr>
      <t>)</t>
    </r>
    <r>
      <rPr>
        <sz val="11"/>
        <color theme="1"/>
        <rFont val="宋体"/>
        <family val="3"/>
        <charset val="134"/>
      </rPr>
      <t xml:space="preserve">，再计算出动载荷，根据动载荷选择直线轴承或导轨滑块
</t>
    </r>
    <r>
      <rPr>
        <sz val="11"/>
        <color theme="1"/>
        <rFont val="Tahoma"/>
        <family val="2"/>
      </rPr>
      <t xml:space="preserve">    5</t>
    </r>
    <r>
      <rPr>
        <sz val="11"/>
        <color theme="1"/>
        <rFont val="宋体"/>
        <family val="3"/>
        <charset val="134"/>
      </rPr>
      <t>，直线轴承与直线导轨滑块区别：一般直线轴承的光轴为两端固定，导轨滑块的直线导轨为均匀固定，一般直线轴承中孔为圆形，直线轴承为方形，直线导轨滑块精度更高、负载能力更强、价格更高、应用更广，直线轴承一般只用于水平短距离传输</t>
    </r>
    <phoneticPr fontId="4" type="noConversion"/>
  </si>
  <si>
    <t>P1=P2</t>
    <phoneticPr fontId="4" type="noConversion"/>
  </si>
  <si>
    <t>P1T=P2T</t>
    <phoneticPr fontId="4" type="noConversion"/>
  </si>
  <si>
    <t>重心高度h</t>
    <phoneticPr fontId="4" type="noConversion"/>
  </si>
  <si>
    <t>重心横向偏移e</t>
    <phoneticPr fontId="4" type="noConversion"/>
  </si>
  <si>
    <t>重心纵向偏移d</t>
    <phoneticPr fontId="4" type="noConversion"/>
  </si>
  <si>
    <t>(2导轨+4滑块)直线导轨滑块与直线轴承选型向导</t>
    <phoneticPr fontId="4" type="noConversion"/>
  </si>
  <si>
    <t>(2导轨+2滑块)直线导轨滑块与直线轴承选型向导</t>
    <phoneticPr fontId="4" type="noConversion"/>
  </si>
  <si>
    <r>
      <rPr>
        <sz val="12"/>
        <color theme="1"/>
        <rFont val="宋体"/>
        <family val="3"/>
        <charset val="134"/>
      </rPr>
      <t>文档信息
编写：图惜
参考：《导轨滑块选型》</t>
    </r>
    <r>
      <rPr>
        <sz val="12"/>
        <color theme="1"/>
        <rFont val="Tahoma"/>
        <family val="2"/>
      </rPr>
      <t>——(</t>
    </r>
    <r>
      <rPr>
        <sz val="12"/>
        <color theme="1"/>
        <rFont val="宋体"/>
        <family val="3"/>
        <charset val="134"/>
      </rPr>
      <t>前桥教育</t>
    </r>
    <r>
      <rPr>
        <sz val="12"/>
        <color theme="1"/>
        <rFont val="Tahoma"/>
        <family val="2"/>
      </rPr>
      <t xml:space="preserve">) </t>
    </r>
    <r>
      <rPr>
        <sz val="12"/>
        <color theme="1"/>
        <rFont val="宋体"/>
        <family val="3"/>
        <charset val="134"/>
      </rPr>
      <t xml:space="preserve">宣言
</t>
    </r>
    <r>
      <rPr>
        <sz val="12"/>
        <color theme="1"/>
        <rFont val="Tahoma"/>
        <family val="2"/>
      </rPr>
      <t xml:space="preserve">                                                                                                       
                                                                              2018.8.15   </t>
    </r>
    <phoneticPr fontId="4" type="noConversion"/>
  </si>
  <si>
    <t>(1导轨+1滑块)直线导轨滑块与直线轴承选型向导</t>
    <phoneticPr fontId="4" type="noConversion"/>
  </si>
  <si>
    <t>当直连回转体负载时 T=J*α</t>
    <phoneticPr fontId="4" type="noConversion"/>
  </si>
  <si>
    <t>当带传动、链传动、齿轮齿条、卷扬机构等负载力时 T=F*L</t>
    <phoneticPr fontId="4" type="noConversion"/>
  </si>
  <si>
    <t>当已知轴传递功率和轴转速时 T=9549P/n，只需校核刚度</t>
    <phoneticPr fontId="4" type="noConversion"/>
  </si>
  <si>
    <r>
      <rPr>
        <sz val="12"/>
        <color theme="1"/>
        <rFont val="宋体"/>
        <family val="3"/>
        <charset val="134"/>
      </rPr>
      <t>说明：</t>
    </r>
    <r>
      <rPr>
        <sz val="12"/>
        <color theme="1"/>
        <rFont val="Tahoma"/>
        <family val="2"/>
      </rPr>
      <t xml:space="preserve"> 
    1</t>
    </r>
    <r>
      <rPr>
        <sz val="12"/>
        <color theme="1"/>
        <rFont val="宋体"/>
        <family val="3"/>
        <charset val="134"/>
      </rPr>
      <t>，提示：气动模式下的机构设计，很多已知条件本身就难以量化，兼之应用工况非常复杂多变，</t>
    </r>
    <r>
      <rPr>
        <sz val="12"/>
        <color rgb="FFFF0000"/>
        <rFont val="宋体"/>
        <family val="3"/>
        <charset val="134"/>
      </rPr>
      <t>大部分计算只需考虑“</t>
    </r>
    <r>
      <rPr>
        <sz val="12"/>
        <color rgb="FFFF0000"/>
        <rFont val="Tahoma"/>
        <family val="2"/>
      </rPr>
      <t>worst case</t>
    </r>
    <r>
      <rPr>
        <sz val="12"/>
        <color rgb="FFFF0000"/>
        <rFont val="宋体"/>
        <family val="3"/>
        <charset val="134"/>
      </rPr>
      <t>”（最糟糕状态）</t>
    </r>
    <r>
      <rPr>
        <sz val="12"/>
        <color theme="1"/>
        <rFont val="宋体"/>
        <family val="3"/>
        <charset val="134"/>
      </rPr>
      <t>，计算的意义在于让我们规避不必要的失误。举个例子，计算出某场合需要选用一个缸径</t>
    </r>
    <r>
      <rPr>
        <sz val="12"/>
        <color theme="1"/>
        <rFont val="Tahoma"/>
        <family val="2"/>
      </rPr>
      <t>Φ40</t>
    </r>
    <r>
      <rPr>
        <sz val="12"/>
        <color theme="1"/>
        <rFont val="宋体"/>
        <family val="3"/>
        <charset val="134"/>
      </rPr>
      <t>的气缸，这就是</t>
    </r>
    <r>
      <rPr>
        <sz val="12"/>
        <color rgb="FFFF0000"/>
        <rFont val="宋体"/>
        <family val="3"/>
        <charset val="134"/>
      </rPr>
      <t>底线</t>
    </r>
    <r>
      <rPr>
        <sz val="12"/>
        <color theme="1"/>
        <rFont val="宋体"/>
        <family val="3"/>
        <charset val="134"/>
      </rPr>
      <t>，但完全没有必要说，给个安全系数，然后选一个</t>
    </r>
    <r>
      <rPr>
        <sz val="12"/>
        <color theme="1"/>
        <rFont val="Tahoma"/>
        <family val="2"/>
      </rPr>
      <t>“</t>
    </r>
    <r>
      <rPr>
        <sz val="12"/>
        <color theme="1"/>
        <rFont val="宋体"/>
        <family val="3"/>
        <charset val="134"/>
      </rPr>
      <t>精确</t>
    </r>
    <r>
      <rPr>
        <sz val="12"/>
        <color theme="1"/>
        <rFont val="Tahoma"/>
        <family val="2"/>
      </rPr>
      <t>”</t>
    </r>
    <r>
      <rPr>
        <sz val="12"/>
        <color theme="1"/>
        <rFont val="宋体"/>
        <family val="3"/>
        <charset val="134"/>
      </rPr>
      <t>缸径，实际的做法，应该是根据各种考虑，可能会选缸径</t>
    </r>
    <r>
      <rPr>
        <sz val="12"/>
        <color theme="1"/>
        <rFont val="Tahoma"/>
        <family val="2"/>
      </rPr>
      <t>Φ50</t>
    </r>
    <r>
      <rPr>
        <sz val="12"/>
        <color theme="1"/>
        <rFont val="宋体"/>
        <family val="3"/>
        <charset val="134"/>
      </rPr>
      <t>或者</t>
    </r>
    <r>
      <rPr>
        <sz val="12"/>
        <color theme="1"/>
        <rFont val="Tahoma"/>
        <family val="2"/>
      </rPr>
      <t>Φ63</t>
    </r>
    <r>
      <rPr>
        <sz val="12"/>
        <color theme="1"/>
        <rFont val="宋体"/>
        <family val="3"/>
        <charset val="134"/>
      </rPr>
      <t>乃至</t>
    </r>
    <r>
      <rPr>
        <sz val="12"/>
        <color theme="1"/>
        <rFont val="Tahoma"/>
        <family val="2"/>
      </rPr>
      <t>Φ100</t>
    </r>
    <r>
      <rPr>
        <sz val="12"/>
        <color theme="1"/>
        <rFont val="宋体"/>
        <family val="3"/>
        <charset val="134"/>
      </rPr>
      <t xml:space="preserve">。
</t>
    </r>
    <r>
      <rPr>
        <sz val="12"/>
        <color theme="1"/>
        <rFont val="Tahoma"/>
        <family val="2"/>
      </rPr>
      <t xml:space="preserve">    2</t>
    </r>
    <r>
      <rPr>
        <sz val="12"/>
        <color theme="1"/>
        <rFont val="宋体"/>
        <family val="3"/>
        <charset val="134"/>
      </rPr>
      <t>，整个气缸选型最关键的是，工况确认和拟定已知条件上，而不是落在“用什么公式来计算”。换言之，从气缸选型的实战意义看，如下图所示的思路，</t>
    </r>
    <r>
      <rPr>
        <sz val="12"/>
        <color theme="1"/>
        <rFont val="Tahoma"/>
        <family val="2"/>
      </rPr>
      <t>A</t>
    </r>
    <r>
      <rPr>
        <sz val="12"/>
        <color theme="1"/>
        <rFont val="宋体"/>
        <family val="3"/>
        <charset val="134"/>
      </rPr>
      <t xml:space="preserve">部分才是重点和难点，也是有设计意义的部分。
</t>
    </r>
    <r>
      <rPr>
        <sz val="12"/>
        <color theme="1"/>
        <rFont val="Tahoma"/>
        <family val="2"/>
      </rPr>
      <t xml:space="preserve">    3</t>
    </r>
    <r>
      <rPr>
        <sz val="12"/>
        <color theme="1"/>
        <rFont val="宋体"/>
        <family val="3"/>
        <charset val="134"/>
      </rPr>
      <t>，普通直线滑轨安装后的摩擦系数为</t>
    </r>
    <r>
      <rPr>
        <sz val="12"/>
        <color theme="1"/>
        <rFont val="Tahoma"/>
        <family val="2"/>
      </rPr>
      <t>0.01~0.02</t>
    </r>
    <r>
      <rPr>
        <sz val="12"/>
        <color theme="1"/>
        <rFont val="宋体"/>
        <family val="3"/>
        <charset val="134"/>
      </rPr>
      <t>，考虑到预压力、多轨道平行度等影响，单条滑轨建议放大为</t>
    </r>
    <r>
      <rPr>
        <sz val="12"/>
        <color theme="1"/>
        <rFont val="Tahoma"/>
        <family val="2"/>
      </rPr>
      <t>0.02</t>
    </r>
    <r>
      <rPr>
        <sz val="12"/>
        <color theme="1"/>
        <rFont val="宋体"/>
        <family val="3"/>
        <charset val="134"/>
      </rPr>
      <t>以上，多轨道建议放大到</t>
    </r>
    <r>
      <rPr>
        <sz val="12"/>
        <color theme="1"/>
        <rFont val="Tahoma"/>
        <family val="2"/>
      </rPr>
      <t>0.05~0.1(</t>
    </r>
    <r>
      <rPr>
        <sz val="12"/>
        <color theme="1"/>
        <rFont val="宋体"/>
        <family val="3"/>
        <charset val="134"/>
      </rPr>
      <t>图惜注</t>
    </r>
    <r>
      <rPr>
        <sz val="12"/>
        <color theme="1"/>
        <rFont val="Tahoma"/>
        <family val="2"/>
      </rPr>
      <t>)</t>
    </r>
    <r>
      <rPr>
        <sz val="12"/>
        <color theme="1"/>
        <rFont val="宋体"/>
        <family val="3"/>
        <charset val="134"/>
      </rPr>
      <t>。</t>
    </r>
    <phoneticPr fontId="4" type="noConversion"/>
  </si>
  <si>
    <t>伺服(0.05~0.2)</t>
    <phoneticPr fontId="4" type="noConversion"/>
  </si>
  <si>
    <t>步进(0.1~0.3)</t>
    <phoneticPr fontId="4" type="noConversion"/>
  </si>
  <si>
    <t>单向</t>
  </si>
  <si>
    <t>在SW中查惯性张量</t>
    <phoneticPr fontId="4" type="noConversion"/>
  </si>
  <si>
    <t>要求精度(±°)</t>
    <phoneticPr fontId="4" type="noConversion"/>
  </si>
  <si>
    <t>转动方向</t>
    <phoneticPr fontId="4" type="noConversion"/>
  </si>
  <si>
    <t>每次转动角度θ(°)</t>
    <phoneticPr fontId="4" type="noConversion"/>
  </si>
  <si>
    <t>每次转动时间t(s)</t>
    <phoneticPr fontId="4" type="noConversion"/>
  </si>
  <si>
    <t>减速时间t3(s)</t>
    <phoneticPr fontId="4" type="noConversion"/>
  </si>
  <si>
    <r>
      <rPr>
        <sz val="11"/>
        <color theme="1"/>
        <rFont val="宋体"/>
        <family val="3"/>
        <charset val="134"/>
      </rPr>
      <t>负载最大转速</t>
    </r>
    <r>
      <rPr>
        <sz val="16"/>
        <color theme="1"/>
        <rFont val="Tahoma"/>
        <family val="2"/>
      </rPr>
      <t>n</t>
    </r>
    <r>
      <rPr>
        <sz val="9"/>
        <color theme="1"/>
        <rFont val="Tahoma"/>
        <family val="2"/>
      </rPr>
      <t>max</t>
    </r>
    <r>
      <rPr>
        <sz val="11"/>
        <color theme="1"/>
        <rFont val="Tahoma"/>
        <family val="2"/>
      </rPr>
      <t>(r/min)</t>
    </r>
    <phoneticPr fontId="4" type="noConversion"/>
  </si>
  <si>
    <r>
      <rPr>
        <sz val="11"/>
        <color theme="1"/>
        <rFont val="宋体"/>
        <family val="3"/>
        <charset val="134"/>
      </rPr>
      <t>电机转矩安全系数</t>
    </r>
    <r>
      <rPr>
        <sz val="11"/>
        <color theme="1"/>
        <rFont val="Tahoma"/>
        <family val="2"/>
      </rPr>
      <t>K</t>
    </r>
    <phoneticPr fontId="4" type="noConversion"/>
  </si>
  <si>
    <t>所需电机保持转矩T(N.m)</t>
    <phoneticPr fontId="4" type="noConversion"/>
  </si>
  <si>
    <t>表1 负载转动特性示意图</t>
    <phoneticPr fontId="4" type="noConversion"/>
  </si>
  <si>
    <t>电机型号</t>
    <phoneticPr fontId="4" type="noConversion"/>
  </si>
  <si>
    <r>
      <rPr>
        <sz val="11"/>
        <color theme="1"/>
        <rFont val="宋体"/>
        <family val="3"/>
        <charset val="134"/>
      </rPr>
      <t>根据</t>
    </r>
    <r>
      <rPr>
        <sz val="11"/>
        <color theme="1"/>
        <rFont val="Tahoma"/>
        <family val="2"/>
      </rPr>
      <t>J</t>
    </r>
    <r>
      <rPr>
        <sz val="11"/>
        <color theme="1"/>
        <rFont val="宋体"/>
        <family val="3"/>
        <charset val="134"/>
      </rPr>
      <t>和</t>
    </r>
    <r>
      <rPr>
        <sz val="11"/>
        <color theme="1"/>
        <rFont val="Tahoma"/>
        <family val="2"/>
      </rPr>
      <t>T</t>
    </r>
    <r>
      <rPr>
        <sz val="11"/>
        <color theme="1"/>
        <rFont val="宋体"/>
        <family val="3"/>
        <charset val="134"/>
      </rPr>
      <t>查找样本</t>
    </r>
    <phoneticPr fontId="4" type="noConversion"/>
  </si>
  <si>
    <t>电机步距角α</t>
    <phoneticPr fontId="4" type="noConversion"/>
  </si>
  <si>
    <r>
      <t>需细分数N</t>
    </r>
    <r>
      <rPr>
        <sz val="10"/>
        <color theme="1"/>
        <rFont val="宋体"/>
        <family val="3"/>
        <charset val="134"/>
      </rPr>
      <t>(1,2,4,8,16,32)</t>
    </r>
    <phoneticPr fontId="4" type="noConversion"/>
  </si>
  <si>
    <r>
      <rPr>
        <sz val="11"/>
        <color theme="1"/>
        <rFont val="宋体"/>
        <family val="3"/>
        <charset val="134"/>
      </rPr>
      <t>要求精度</t>
    </r>
    <r>
      <rPr>
        <sz val="11"/>
        <color theme="1"/>
        <rFont val="Tahoma"/>
        <family val="2"/>
      </rPr>
      <t>(±mm)</t>
    </r>
    <phoneticPr fontId="4" type="noConversion"/>
  </si>
  <si>
    <r>
      <rPr>
        <sz val="11"/>
        <color theme="1"/>
        <rFont val="宋体"/>
        <family val="3"/>
        <charset val="134"/>
      </rPr>
      <t>细分后最大步距角β</t>
    </r>
    <r>
      <rPr>
        <sz val="11"/>
        <color theme="1"/>
        <rFont val="Tahoma"/>
        <family val="2"/>
      </rPr>
      <t>(°)</t>
    </r>
    <phoneticPr fontId="4" type="noConversion"/>
  </si>
  <si>
    <r>
      <rPr>
        <sz val="11"/>
        <color theme="1"/>
        <rFont val="宋体"/>
        <family val="3"/>
        <charset val="134"/>
      </rPr>
      <t>行程</t>
    </r>
    <r>
      <rPr>
        <sz val="11"/>
        <color theme="1"/>
        <rFont val="Tahoma"/>
        <family val="2"/>
      </rPr>
      <t>L(mm)</t>
    </r>
    <phoneticPr fontId="4" type="noConversion"/>
  </si>
  <si>
    <r>
      <rPr>
        <sz val="11"/>
        <color theme="1"/>
        <rFont val="宋体"/>
        <family val="3"/>
        <charset val="134"/>
      </rPr>
      <t>每分钟往返次数</t>
    </r>
    <r>
      <rPr>
        <sz val="11"/>
        <color theme="1"/>
        <rFont val="Tahoma"/>
        <family val="2"/>
      </rPr>
      <t>N</t>
    </r>
    <phoneticPr fontId="4" type="noConversion"/>
  </si>
  <si>
    <r>
      <rPr>
        <sz val="11"/>
        <color theme="1"/>
        <rFont val="宋体"/>
        <family val="3"/>
        <charset val="134"/>
      </rPr>
      <t>减速时间</t>
    </r>
    <r>
      <rPr>
        <sz val="11"/>
        <color theme="1"/>
        <rFont val="Tahoma"/>
        <family val="2"/>
      </rPr>
      <t>t3(s)</t>
    </r>
    <phoneticPr fontId="4" type="noConversion"/>
  </si>
  <si>
    <r>
      <rPr>
        <sz val="11"/>
        <color theme="1"/>
        <rFont val="宋体"/>
        <family val="3"/>
        <charset val="134"/>
      </rPr>
      <t>静止时间</t>
    </r>
    <r>
      <rPr>
        <sz val="11"/>
        <color theme="1"/>
        <rFont val="Tahoma"/>
        <family val="2"/>
      </rPr>
      <t>t4(s)</t>
    </r>
    <phoneticPr fontId="4" type="noConversion"/>
  </si>
  <si>
    <r>
      <rPr>
        <sz val="11"/>
        <color theme="1"/>
        <rFont val="宋体"/>
        <family val="3"/>
        <charset val="134"/>
      </rPr>
      <t>往返一个周期时间</t>
    </r>
    <r>
      <rPr>
        <sz val="11"/>
        <color theme="1"/>
        <rFont val="Tahoma"/>
        <family val="2"/>
      </rPr>
      <t>T(s)</t>
    </r>
    <phoneticPr fontId="4" type="noConversion"/>
  </si>
  <si>
    <r>
      <rPr>
        <sz val="11"/>
        <color theme="1"/>
        <rFont val="宋体"/>
        <family val="3"/>
        <charset val="134"/>
      </rPr>
      <t>负载转动惯量</t>
    </r>
    <r>
      <rPr>
        <sz val="11"/>
        <color theme="1"/>
        <rFont val="Tahoma"/>
        <family val="2"/>
      </rPr>
      <t>J1(kg.cm²)</t>
    </r>
    <phoneticPr fontId="4" type="noConversion"/>
  </si>
  <si>
    <r>
      <rPr>
        <sz val="11"/>
        <color theme="1"/>
        <rFont val="宋体"/>
        <family val="3"/>
        <charset val="134"/>
      </rPr>
      <t>需电机转子惯量</t>
    </r>
    <r>
      <rPr>
        <sz val="11"/>
        <color theme="1"/>
        <rFont val="Tahoma"/>
        <family val="2"/>
      </rPr>
      <t>J(kg.cm²)</t>
    </r>
    <phoneticPr fontId="4" type="noConversion"/>
  </si>
  <si>
    <t>电机或减速机直连负载时(如分度盘)</t>
    <phoneticPr fontId="4" type="noConversion"/>
  </si>
  <si>
    <r>
      <rPr>
        <sz val="11"/>
        <color theme="1"/>
        <rFont val="宋体"/>
        <family val="3"/>
        <charset val="134"/>
      </rPr>
      <t>加速时间</t>
    </r>
    <r>
      <rPr>
        <sz val="11"/>
        <color theme="1"/>
        <rFont val="Tahoma"/>
        <family val="2"/>
      </rPr>
      <t>t1(0.1~0.3s)</t>
    </r>
    <phoneticPr fontId="4" type="noConversion"/>
  </si>
  <si>
    <r>
      <rPr>
        <sz val="11"/>
        <color theme="1"/>
        <rFont val="宋体"/>
        <family val="3"/>
        <charset val="134"/>
      </rPr>
      <t>负载最大线速</t>
    </r>
    <r>
      <rPr>
        <sz val="11"/>
        <color theme="1"/>
        <rFont val="Tahoma"/>
        <family val="2"/>
      </rPr>
      <t>V</t>
    </r>
    <r>
      <rPr>
        <sz val="9"/>
        <color theme="1"/>
        <rFont val="Tahoma"/>
        <family val="2"/>
      </rPr>
      <t>max</t>
    </r>
    <r>
      <rPr>
        <sz val="11"/>
        <color theme="1"/>
        <rFont val="Tahoma"/>
        <family val="2"/>
      </rPr>
      <t>(m/s)</t>
    </r>
    <phoneticPr fontId="4" type="noConversion"/>
  </si>
  <si>
    <r>
      <rPr>
        <sz val="11"/>
        <color theme="1"/>
        <rFont val="宋体"/>
        <family val="3"/>
        <charset val="134"/>
      </rPr>
      <t>电机最大转速</t>
    </r>
    <r>
      <rPr>
        <sz val="16"/>
        <color theme="1"/>
        <rFont val="Tahoma"/>
        <family val="2"/>
      </rPr>
      <t>n</t>
    </r>
    <r>
      <rPr>
        <sz val="11"/>
        <color theme="1"/>
        <rFont val="Tahoma"/>
        <family val="2"/>
      </rPr>
      <t>0max(r/min)</t>
    </r>
    <phoneticPr fontId="4" type="noConversion"/>
  </si>
  <si>
    <r>
      <rPr>
        <sz val="11"/>
        <color theme="1"/>
        <rFont val="宋体"/>
        <family val="3"/>
        <charset val="134"/>
      </rPr>
      <t>减速机减速比</t>
    </r>
    <r>
      <rPr>
        <sz val="11"/>
        <color theme="1"/>
        <rFont val="Tahoma"/>
        <family val="2"/>
      </rPr>
      <t>i(</t>
    </r>
    <r>
      <rPr>
        <sz val="11"/>
        <color theme="1"/>
        <rFont val="宋体"/>
        <family val="3"/>
        <charset val="134"/>
      </rPr>
      <t>≥</t>
    </r>
    <r>
      <rPr>
        <sz val="11"/>
        <color theme="1"/>
        <rFont val="Tahoma"/>
        <family val="2"/>
      </rPr>
      <t>1</t>
    </r>
    <r>
      <rPr>
        <sz val="11"/>
        <color theme="1"/>
        <rFont val="宋体"/>
        <family val="3"/>
        <charset val="134"/>
      </rPr>
      <t>直连为</t>
    </r>
    <r>
      <rPr>
        <sz val="11"/>
        <color theme="1"/>
        <rFont val="Tahoma"/>
        <family val="2"/>
      </rPr>
      <t>1)</t>
    </r>
    <phoneticPr fontId="4" type="noConversion"/>
  </si>
  <si>
    <r>
      <rPr>
        <sz val="11"/>
        <color theme="1"/>
        <rFont val="宋体"/>
        <family val="3"/>
        <charset val="134"/>
      </rPr>
      <t>加速时间</t>
    </r>
    <r>
      <rPr>
        <sz val="11"/>
        <color theme="1"/>
        <rFont val="Tahoma"/>
        <family val="2"/>
      </rPr>
      <t>t1(s)</t>
    </r>
    <phoneticPr fontId="4" type="noConversion"/>
  </si>
  <si>
    <r>
      <rPr>
        <sz val="11"/>
        <color theme="1"/>
        <rFont val="宋体"/>
        <family val="3"/>
        <charset val="134"/>
      </rPr>
      <t>导轨摩擦系数</t>
    </r>
    <r>
      <rPr>
        <sz val="11"/>
        <color theme="1"/>
        <rFont val="Tahoma"/>
        <family val="2"/>
      </rPr>
      <t>μ</t>
    </r>
    <phoneticPr fontId="4" type="noConversion"/>
  </si>
  <si>
    <t>T=K*Tmax/i/η0</t>
    <phoneticPr fontId="4" type="noConversion"/>
  </si>
  <si>
    <t>电机型号</t>
    <phoneticPr fontId="4" type="noConversion"/>
  </si>
  <si>
    <t>电机步距角α</t>
    <phoneticPr fontId="4" type="noConversion"/>
  </si>
  <si>
    <r>
      <rPr>
        <sz val="11"/>
        <color theme="1"/>
        <rFont val="宋体"/>
        <family val="3"/>
        <charset val="134"/>
      </rPr>
      <t>倾斜角</t>
    </r>
    <r>
      <rPr>
        <sz val="11"/>
        <color theme="1"/>
        <rFont val="Tahoma"/>
        <family val="2"/>
      </rPr>
      <t xml:space="preserve">θ(°, </t>
    </r>
    <r>
      <rPr>
        <sz val="11"/>
        <color theme="1"/>
        <rFont val="宋体"/>
        <family val="3"/>
        <charset val="134"/>
      </rPr>
      <t>水平</t>
    </r>
    <r>
      <rPr>
        <sz val="11"/>
        <color theme="1"/>
        <rFont val="Tahoma"/>
        <family val="2"/>
      </rPr>
      <t>0,</t>
    </r>
    <r>
      <rPr>
        <sz val="11"/>
        <color theme="1"/>
        <rFont val="宋体"/>
        <family val="3"/>
        <charset val="134"/>
      </rPr>
      <t>竖直</t>
    </r>
    <r>
      <rPr>
        <sz val="11"/>
        <color theme="1"/>
        <rFont val="Tahoma"/>
        <family val="2"/>
      </rPr>
      <t>90)</t>
    </r>
    <phoneticPr fontId="4" type="noConversion"/>
  </si>
  <si>
    <t>最大允许惯量比</t>
    <phoneticPr fontId="4" type="noConversion"/>
  </si>
  <si>
    <r>
      <rPr>
        <sz val="11"/>
        <color theme="1"/>
        <rFont val="宋体"/>
        <family val="3"/>
        <charset val="134"/>
      </rPr>
      <t>折算到电机轴惯量</t>
    </r>
    <r>
      <rPr>
        <sz val="11"/>
        <color theme="1"/>
        <rFont val="Tahoma"/>
        <family val="2"/>
      </rPr>
      <t>J"(kg.cm²)</t>
    </r>
    <phoneticPr fontId="4" type="noConversion"/>
  </si>
  <si>
    <r>
      <t>折算到电机轴惯量</t>
    </r>
    <r>
      <rPr>
        <sz val="11"/>
        <color theme="1"/>
        <rFont val="Tahoma"/>
        <family val="2"/>
      </rPr>
      <t>J"(kg.cm²)</t>
    </r>
  </si>
  <si>
    <r>
      <rPr>
        <sz val="11"/>
        <color theme="1"/>
        <rFont val="宋体"/>
        <family val="3"/>
        <charset val="134"/>
      </rPr>
      <t>理论上惯量比</t>
    </r>
    <r>
      <rPr>
        <sz val="11"/>
        <color theme="1"/>
        <rFont val="Tahoma"/>
        <family val="2"/>
      </rPr>
      <t xml:space="preserve"> </t>
    </r>
    <r>
      <rPr>
        <sz val="11"/>
        <color theme="1"/>
        <rFont val="宋体"/>
        <family val="3"/>
        <charset val="134"/>
      </rPr>
      <t>≤</t>
    </r>
    <r>
      <rPr>
        <sz val="11"/>
        <color theme="1"/>
        <rFont val="Tahoma"/>
        <family val="2"/>
      </rPr>
      <t xml:space="preserve"> 5</t>
    </r>
    <phoneticPr fontId="4" type="noConversion"/>
  </si>
  <si>
    <t>86YG250D</t>
    <phoneticPr fontId="4" type="noConversion"/>
  </si>
  <si>
    <t>86YG250A</t>
    <phoneticPr fontId="4" type="noConversion"/>
  </si>
  <si>
    <r>
      <rPr>
        <sz val="11"/>
        <color theme="1"/>
        <rFont val="宋体"/>
        <family val="3"/>
        <charset val="134"/>
      </rPr>
      <t>最小细分数</t>
    </r>
    <r>
      <rPr>
        <sz val="11"/>
        <color theme="1"/>
        <rFont val="Tahoma"/>
        <family val="2"/>
      </rPr>
      <t>N</t>
    </r>
    <r>
      <rPr>
        <sz val="10"/>
        <color theme="1"/>
        <rFont val="宋体"/>
        <family val="3"/>
        <charset val="134"/>
      </rPr>
      <t>(1,2,4,8,16,32)</t>
    </r>
    <phoneticPr fontId="4" type="noConversion"/>
  </si>
  <si>
    <t>不细分</t>
  </si>
  <si>
    <r>
      <rPr>
        <sz val="11"/>
        <color theme="1"/>
        <rFont val="宋体"/>
        <family val="3"/>
        <charset val="134"/>
      </rPr>
      <t>主</t>
    </r>
    <r>
      <rPr>
        <sz val="11"/>
        <color theme="1"/>
        <rFont val="宋体"/>
        <family val="3"/>
        <charset val="134"/>
      </rPr>
      <t>轮节圆</t>
    </r>
    <r>
      <rPr>
        <sz val="11"/>
        <color theme="1"/>
        <rFont val="Tahoma"/>
        <family val="2"/>
      </rPr>
      <t>d1(mm)</t>
    </r>
    <phoneticPr fontId="4" type="noConversion"/>
  </si>
  <si>
    <r>
      <rPr>
        <sz val="11"/>
        <color theme="1"/>
        <rFont val="宋体"/>
        <family val="3"/>
        <charset val="134"/>
      </rPr>
      <t>从轮节圆</t>
    </r>
    <r>
      <rPr>
        <sz val="11"/>
        <color theme="1"/>
        <rFont val="Tahoma"/>
        <family val="2"/>
      </rPr>
      <t>d2(mm)(</t>
    </r>
    <r>
      <rPr>
        <sz val="11"/>
        <color theme="1"/>
        <rFont val="宋体"/>
        <family val="3"/>
        <charset val="134"/>
      </rPr>
      <t>齿条</t>
    </r>
    <r>
      <rPr>
        <sz val="11"/>
        <color theme="1"/>
        <rFont val="Tahoma"/>
        <family val="2"/>
      </rPr>
      <t>=d1)</t>
    </r>
    <phoneticPr fontId="4" type="noConversion"/>
  </si>
  <si>
    <r>
      <rPr>
        <sz val="11"/>
        <color theme="1"/>
        <rFont val="宋体"/>
        <family val="3"/>
        <charset val="134"/>
      </rPr>
      <t>丝杆传动效率</t>
    </r>
    <r>
      <rPr>
        <sz val="11"/>
        <color theme="1"/>
        <rFont val="Tahoma"/>
        <family val="2"/>
      </rPr>
      <t>η1</t>
    </r>
    <phoneticPr fontId="4" type="noConversion"/>
  </si>
  <si>
    <r>
      <rPr>
        <sz val="11"/>
        <color theme="1"/>
        <rFont val="宋体"/>
        <family val="3"/>
        <charset val="134"/>
      </rPr>
      <t>丝杆直径</t>
    </r>
    <r>
      <rPr>
        <sz val="11"/>
        <color theme="1"/>
        <rFont val="Tahoma"/>
        <family val="2"/>
      </rPr>
      <t>d(mm)</t>
    </r>
    <phoneticPr fontId="4" type="noConversion"/>
  </si>
  <si>
    <r>
      <rPr>
        <sz val="11"/>
        <color theme="1"/>
        <rFont val="宋体"/>
        <family val="3"/>
        <charset val="134"/>
      </rPr>
      <t>丝杆螺距</t>
    </r>
    <r>
      <rPr>
        <sz val="11"/>
        <color theme="1"/>
        <rFont val="Tahoma"/>
        <family val="2"/>
      </rPr>
      <t>Bp(mm)</t>
    </r>
    <phoneticPr fontId="4" type="noConversion"/>
  </si>
  <si>
    <r>
      <t>5</t>
    </r>
    <r>
      <rPr>
        <sz val="11"/>
        <color theme="1"/>
        <rFont val="宋体"/>
        <family val="3"/>
        <charset val="134"/>
      </rPr>
      <t>，电机选型</t>
    </r>
    <phoneticPr fontId="4" type="noConversion"/>
  </si>
  <si>
    <r>
      <rPr>
        <sz val="11"/>
        <color theme="1"/>
        <rFont val="宋体"/>
        <family val="3"/>
        <charset val="134"/>
      </rPr>
      <t>负载</t>
    </r>
    <r>
      <rPr>
        <sz val="11"/>
        <color theme="1"/>
        <rFont val="Tahoma"/>
        <family val="2"/>
      </rPr>
      <t>(</t>
    </r>
    <r>
      <rPr>
        <sz val="11"/>
        <color theme="1"/>
        <rFont val="宋体"/>
        <family val="3"/>
        <charset val="134"/>
      </rPr>
      <t>含平台</t>
    </r>
    <r>
      <rPr>
        <sz val="11"/>
        <color theme="1"/>
        <rFont val="Tahoma"/>
        <family val="2"/>
      </rPr>
      <t>)</t>
    </r>
    <r>
      <rPr>
        <sz val="11"/>
        <color theme="1"/>
        <rFont val="宋体"/>
        <family val="3"/>
        <charset val="134"/>
      </rPr>
      <t>总重量</t>
    </r>
    <r>
      <rPr>
        <sz val="11"/>
        <color theme="1"/>
        <rFont val="Tahoma"/>
        <family val="2"/>
      </rPr>
      <t>m(kg)</t>
    </r>
    <phoneticPr fontId="4" type="noConversion"/>
  </si>
  <si>
    <r>
      <t>(PI/32)ρ*Lb*d</t>
    </r>
    <r>
      <rPr>
        <vertAlign val="superscript"/>
        <sz val="12"/>
        <color theme="1"/>
        <rFont val="Tahoma"/>
        <family val="2"/>
      </rPr>
      <t>4</t>
    </r>
    <phoneticPr fontId="4" type="noConversion"/>
  </si>
  <si>
    <r>
      <rPr>
        <sz val="11"/>
        <color theme="1"/>
        <rFont val="宋体"/>
        <family val="3"/>
        <charset val="134"/>
      </rPr>
      <t>丝杆总长</t>
    </r>
    <r>
      <rPr>
        <sz val="11"/>
        <color theme="1"/>
        <rFont val="Tahoma"/>
        <family val="2"/>
      </rPr>
      <t>Lb(mm)</t>
    </r>
    <phoneticPr fontId="4" type="noConversion"/>
  </si>
  <si>
    <r>
      <t>m*D</t>
    </r>
    <r>
      <rPr>
        <vertAlign val="superscript"/>
        <sz val="12"/>
        <color theme="1"/>
        <rFont val="Tahoma"/>
        <family val="2"/>
      </rPr>
      <t>4</t>
    </r>
    <r>
      <rPr>
        <sz val="11"/>
        <color theme="1"/>
        <rFont val="Tahoma"/>
        <family val="2"/>
      </rPr>
      <t>/8</t>
    </r>
    <r>
      <rPr>
        <sz val="11"/>
        <color theme="1"/>
        <rFont val="宋体"/>
        <family val="3"/>
        <charset val="134"/>
      </rPr>
      <t>或查</t>
    </r>
    <r>
      <rPr>
        <sz val="11"/>
        <color theme="1"/>
        <rFont val="Tahoma"/>
        <family val="2"/>
      </rPr>
      <t>SW</t>
    </r>
    <phoneticPr fontId="4" type="noConversion"/>
  </si>
  <si>
    <r>
      <rPr>
        <sz val="11"/>
        <color theme="1"/>
        <rFont val="宋体"/>
        <family val="3"/>
        <charset val="134"/>
      </rPr>
      <t>联轴器</t>
    </r>
    <r>
      <rPr>
        <sz val="11"/>
        <color theme="1"/>
        <rFont val="Tahoma"/>
        <family val="2"/>
      </rPr>
      <t>/</t>
    </r>
    <r>
      <rPr>
        <sz val="11"/>
        <color theme="1"/>
        <rFont val="宋体"/>
        <family val="3"/>
        <charset val="134"/>
      </rPr>
      <t>丝杆输入轮</t>
    </r>
    <r>
      <rPr>
        <sz val="11"/>
        <color theme="1"/>
        <rFont val="Tahoma"/>
        <family val="2"/>
      </rPr>
      <t>J</t>
    </r>
    <r>
      <rPr>
        <vertAlign val="subscript"/>
        <sz val="14"/>
        <color theme="1"/>
        <rFont val="Tahoma"/>
        <family val="2"/>
      </rPr>
      <t>C</t>
    </r>
    <r>
      <rPr>
        <sz val="11"/>
        <color theme="1"/>
        <rFont val="Tahoma"/>
        <family val="2"/>
      </rPr>
      <t>(kg.cm²)</t>
    </r>
    <phoneticPr fontId="4" type="noConversion"/>
  </si>
  <si>
    <r>
      <rPr>
        <sz val="11"/>
        <color theme="1"/>
        <rFont val="宋体"/>
        <family val="3"/>
        <charset val="134"/>
      </rPr>
      <t>丝杆转动惯量</t>
    </r>
    <r>
      <rPr>
        <sz val="11"/>
        <color theme="1"/>
        <rFont val="Tahoma"/>
        <family val="2"/>
      </rPr>
      <t>J</t>
    </r>
    <r>
      <rPr>
        <vertAlign val="subscript"/>
        <sz val="14"/>
        <color theme="1"/>
        <rFont val="Tahoma"/>
        <family val="2"/>
      </rPr>
      <t>B</t>
    </r>
    <r>
      <rPr>
        <sz val="11"/>
        <color theme="1"/>
        <rFont val="Tahoma"/>
        <family val="2"/>
      </rPr>
      <t>(kg.cm²)</t>
    </r>
    <phoneticPr fontId="4" type="noConversion"/>
  </si>
  <si>
    <r>
      <rPr>
        <sz val="11"/>
        <color theme="1"/>
        <rFont val="宋体"/>
        <family val="3"/>
        <charset val="134"/>
      </rPr>
      <t>减速机效率</t>
    </r>
    <r>
      <rPr>
        <sz val="11"/>
        <color theme="1"/>
        <rFont val="Tahoma"/>
        <family val="2"/>
      </rPr>
      <t>η0 (</t>
    </r>
    <r>
      <rPr>
        <sz val="11"/>
        <color theme="1"/>
        <rFont val="宋体"/>
        <family val="3"/>
        <charset val="134"/>
      </rPr>
      <t>直连填</t>
    </r>
    <r>
      <rPr>
        <sz val="11"/>
        <color theme="1"/>
        <rFont val="Tahoma"/>
        <family val="2"/>
      </rPr>
      <t>1)</t>
    </r>
    <phoneticPr fontId="4" type="noConversion"/>
  </si>
  <si>
    <r>
      <rPr>
        <sz val="11"/>
        <color theme="1"/>
        <rFont val="宋体"/>
        <family val="3"/>
        <charset val="134"/>
      </rPr>
      <t>减速机效率</t>
    </r>
    <r>
      <rPr>
        <sz val="11"/>
        <color theme="1"/>
        <rFont val="Tahoma"/>
        <family val="2"/>
      </rPr>
      <t>η0 (</t>
    </r>
    <r>
      <rPr>
        <sz val="11"/>
        <color theme="1"/>
        <rFont val="宋体"/>
        <family val="3"/>
        <charset val="134"/>
      </rPr>
      <t>直连填</t>
    </r>
    <r>
      <rPr>
        <sz val="11"/>
        <color theme="1"/>
        <rFont val="Tahoma"/>
        <family val="2"/>
      </rPr>
      <t>1)</t>
    </r>
    <phoneticPr fontId="4" type="noConversion"/>
  </si>
  <si>
    <r>
      <rPr>
        <sz val="11"/>
        <color theme="1"/>
        <rFont val="宋体"/>
        <family val="3"/>
        <charset val="134"/>
      </rPr>
      <t>减速机减速比</t>
    </r>
    <r>
      <rPr>
        <sz val="11"/>
        <color theme="1"/>
        <rFont val="Tahoma"/>
        <family val="2"/>
      </rPr>
      <t xml:space="preserve"> i(</t>
    </r>
    <r>
      <rPr>
        <sz val="11"/>
        <color theme="1"/>
        <rFont val="宋体"/>
        <family val="3"/>
        <charset val="134"/>
      </rPr>
      <t>直连填</t>
    </r>
    <r>
      <rPr>
        <sz val="11"/>
        <color theme="1"/>
        <rFont val="Tahoma"/>
        <family val="2"/>
      </rPr>
      <t>1)</t>
    </r>
    <phoneticPr fontId="4" type="noConversion"/>
  </si>
  <si>
    <r>
      <rPr>
        <sz val="11"/>
        <color theme="1"/>
        <rFont val="宋体"/>
        <family val="3"/>
        <charset val="134"/>
      </rPr>
      <t>减速机减速比</t>
    </r>
    <r>
      <rPr>
        <sz val="11"/>
        <color theme="1"/>
        <rFont val="Tahoma"/>
        <family val="2"/>
      </rPr>
      <t xml:space="preserve"> i(</t>
    </r>
    <r>
      <rPr>
        <sz val="11"/>
        <color theme="1"/>
        <rFont val="宋体"/>
        <family val="3"/>
        <charset val="134"/>
      </rPr>
      <t>直连填</t>
    </r>
    <r>
      <rPr>
        <sz val="11"/>
        <color theme="1"/>
        <rFont val="Tahoma"/>
        <family val="2"/>
      </rPr>
      <t>1)</t>
    </r>
    <phoneticPr fontId="4" type="noConversion"/>
  </si>
  <si>
    <t>传送工况</t>
    <phoneticPr fontId="4" type="noConversion"/>
  </si>
  <si>
    <r>
      <rPr>
        <sz val="11"/>
        <color theme="1"/>
        <rFont val="宋体"/>
        <family val="3"/>
        <charset val="134"/>
      </rPr>
      <t>传送带传动效率</t>
    </r>
    <r>
      <rPr>
        <sz val="11"/>
        <color theme="1"/>
        <rFont val="Tahoma"/>
        <family val="2"/>
      </rPr>
      <t>η1</t>
    </r>
    <phoneticPr fontId="4" type="noConversion"/>
  </si>
  <si>
    <r>
      <rPr>
        <sz val="11"/>
        <color theme="1"/>
        <rFont val="宋体"/>
        <family val="3"/>
        <charset val="134"/>
      </rPr>
      <t>主滚筒直径</t>
    </r>
    <r>
      <rPr>
        <sz val="11"/>
        <color theme="1"/>
        <rFont val="Tahoma"/>
        <family val="2"/>
      </rPr>
      <t>d1(mm)</t>
    </r>
    <phoneticPr fontId="4" type="noConversion"/>
  </si>
  <si>
    <r>
      <rPr>
        <sz val="11"/>
        <color theme="1"/>
        <rFont val="宋体"/>
        <family val="3"/>
        <charset val="134"/>
      </rPr>
      <t>从滚筒直径</t>
    </r>
    <r>
      <rPr>
        <sz val="11"/>
        <color theme="1"/>
        <rFont val="Tahoma"/>
        <family val="2"/>
      </rPr>
      <t>d2(mm)(</t>
    </r>
    <r>
      <rPr>
        <sz val="11"/>
        <color theme="1"/>
        <rFont val="宋体"/>
        <family val="3"/>
        <charset val="134"/>
      </rPr>
      <t>通常</t>
    </r>
    <r>
      <rPr>
        <sz val="11"/>
        <color theme="1"/>
        <rFont val="Tahoma"/>
        <family val="2"/>
      </rPr>
      <t>=d1)</t>
    </r>
    <phoneticPr fontId="4" type="noConversion"/>
  </si>
  <si>
    <r>
      <rPr>
        <sz val="11"/>
        <color theme="1"/>
        <rFont val="宋体"/>
        <family val="3"/>
        <charset val="134"/>
      </rPr>
      <t>每次运动距离</t>
    </r>
    <r>
      <rPr>
        <sz val="11"/>
        <color theme="1"/>
        <rFont val="Tahoma"/>
        <family val="2"/>
      </rPr>
      <t>L(mm)</t>
    </r>
    <phoneticPr fontId="4" type="noConversion"/>
  </si>
  <si>
    <r>
      <rPr>
        <sz val="11"/>
        <color theme="1"/>
        <rFont val="宋体"/>
        <family val="3"/>
        <charset val="134"/>
      </rPr>
      <t>每分停歇次数</t>
    </r>
    <r>
      <rPr>
        <sz val="11"/>
        <color theme="1"/>
        <rFont val="Tahoma"/>
        <family val="2"/>
      </rPr>
      <t>N</t>
    </r>
    <phoneticPr fontId="4" type="noConversion"/>
  </si>
  <si>
    <r>
      <t>传送速度</t>
    </r>
    <r>
      <rPr>
        <sz val="11"/>
        <color theme="1"/>
        <rFont val="Tahoma"/>
        <family val="2"/>
      </rPr>
      <t>V(m/s)</t>
    </r>
    <phoneticPr fontId="4" type="noConversion"/>
  </si>
  <si>
    <r>
      <t xml:space="preserve">A0, </t>
    </r>
    <r>
      <rPr>
        <sz val="11"/>
        <color theme="1"/>
        <rFont val="宋体"/>
        <family val="3"/>
        <charset val="134"/>
      </rPr>
      <t>工况选择</t>
    </r>
    <phoneticPr fontId="4" type="noConversion"/>
  </si>
  <si>
    <t>间歇输送</t>
  </si>
  <si>
    <r>
      <t xml:space="preserve">A1, </t>
    </r>
    <r>
      <rPr>
        <sz val="11"/>
        <color theme="1"/>
        <rFont val="宋体"/>
        <family val="3"/>
        <charset val="134"/>
      </rPr>
      <t xml:space="preserve">间歇输送参
</t>
    </r>
    <r>
      <rPr>
        <sz val="11"/>
        <color theme="1"/>
        <rFont val="Tahoma"/>
        <family val="2"/>
      </rPr>
      <t xml:space="preserve">     </t>
    </r>
    <r>
      <rPr>
        <sz val="11"/>
        <color theme="1"/>
        <rFont val="宋体"/>
        <family val="3"/>
        <charset val="134"/>
      </rPr>
      <t>数</t>
    </r>
    <r>
      <rPr>
        <sz val="11"/>
        <color theme="1"/>
        <rFont val="Tahoma"/>
        <family val="2"/>
      </rPr>
      <t>(</t>
    </r>
    <r>
      <rPr>
        <sz val="11"/>
        <color theme="1"/>
        <rFont val="宋体"/>
        <family val="3"/>
        <charset val="134"/>
      </rPr>
      <t xml:space="preserve">连续输
</t>
    </r>
    <r>
      <rPr>
        <sz val="11"/>
        <color theme="1"/>
        <rFont val="Tahoma"/>
        <family val="2"/>
      </rPr>
      <t xml:space="preserve">     </t>
    </r>
    <r>
      <rPr>
        <sz val="11"/>
        <color theme="1"/>
        <rFont val="宋体"/>
        <family val="3"/>
        <charset val="134"/>
      </rPr>
      <t>送不用填</t>
    </r>
    <r>
      <rPr>
        <sz val="11"/>
        <color theme="1"/>
        <rFont val="Tahoma"/>
        <family val="2"/>
      </rPr>
      <t>)</t>
    </r>
    <phoneticPr fontId="4" type="noConversion"/>
  </si>
  <si>
    <r>
      <t>A2,</t>
    </r>
    <r>
      <rPr>
        <sz val="10"/>
        <color theme="1"/>
        <rFont val="宋体"/>
        <family val="3"/>
        <charset val="134"/>
      </rPr>
      <t>连续输送参数</t>
    </r>
    <phoneticPr fontId="4" type="noConversion"/>
  </si>
  <si>
    <t>间歇输送时不用填</t>
    <phoneticPr fontId="4" type="noConversion"/>
  </si>
  <si>
    <t>滚筒支撑</t>
  </si>
  <si>
    <r>
      <rPr>
        <sz val="11"/>
        <color theme="1"/>
        <rFont val="宋体"/>
        <family val="3"/>
        <charset val="134"/>
      </rPr>
      <t>主滚筒惯量</t>
    </r>
    <r>
      <rPr>
        <sz val="11"/>
        <color theme="1"/>
        <rFont val="Tahoma"/>
        <family val="2"/>
      </rPr>
      <t>J1(kg.cm²)</t>
    </r>
    <phoneticPr fontId="4" type="noConversion"/>
  </si>
  <si>
    <r>
      <t xml:space="preserve">md²/8  </t>
    </r>
    <r>
      <rPr>
        <sz val="11"/>
        <color theme="1"/>
        <rFont val="宋体"/>
        <family val="3"/>
        <charset val="134"/>
      </rPr>
      <t>或者在</t>
    </r>
    <r>
      <rPr>
        <sz val="11"/>
        <color theme="1"/>
        <rFont val="Tahoma"/>
        <family val="2"/>
      </rPr>
      <t>SW</t>
    </r>
    <r>
      <rPr>
        <sz val="11"/>
        <color theme="1"/>
        <rFont val="宋体"/>
        <family val="3"/>
        <charset val="134"/>
      </rPr>
      <t>中查惯性张量</t>
    </r>
    <phoneticPr fontId="4" type="noConversion"/>
  </si>
  <si>
    <t>轴的计算与校核</t>
    <phoneticPr fontId="4" type="noConversion"/>
  </si>
  <si>
    <t>序号</t>
    <phoneticPr fontId="4" type="noConversion"/>
  </si>
  <si>
    <r>
      <t>2</t>
    </r>
    <r>
      <rPr>
        <sz val="11"/>
        <color theme="1"/>
        <rFont val="宋体"/>
        <family val="3"/>
        <charset val="134"/>
      </rPr>
      <t>，由于小编水平有限，难免有许多纰漏，请大家不吝赐教，多多指点；</t>
    </r>
    <phoneticPr fontId="4" type="noConversion"/>
  </si>
  <si>
    <r>
      <t>4</t>
    </r>
    <r>
      <rPr>
        <sz val="11"/>
        <color theme="1"/>
        <rFont val="宋体"/>
        <family val="3"/>
        <charset val="134"/>
      </rPr>
      <t>，本合集并不是最终版，小编会不断更新完善；</t>
    </r>
    <phoneticPr fontId="4" type="noConversion"/>
  </si>
  <si>
    <r>
      <t>6</t>
    </r>
    <r>
      <rPr>
        <sz val="11"/>
        <color theme="1"/>
        <rFont val="宋体"/>
        <family val="3"/>
        <charset val="134"/>
      </rPr>
      <t>，最后祝大家工作顺利，小白变大神。</t>
    </r>
    <phoneticPr fontId="4" type="noConversion"/>
  </si>
  <si>
    <t xml:space="preserve">文档信息
</t>
    <phoneticPr fontId="4" type="noConversion"/>
  </si>
  <si>
    <t>锥齿轮强度</t>
    <phoneticPr fontId="4" type="noConversion"/>
  </si>
  <si>
    <t>蜗杆蜗轮强度</t>
    <phoneticPr fontId="4" type="noConversion"/>
  </si>
  <si>
    <r>
      <t>V</t>
    </r>
    <r>
      <rPr>
        <u/>
        <sz val="11"/>
        <color theme="10"/>
        <rFont val="宋体"/>
        <family val="3"/>
        <charset val="134"/>
      </rPr>
      <t>带选型向导</t>
    </r>
    <phoneticPr fontId="4" type="noConversion"/>
  </si>
  <si>
    <t>同步带选型向导</t>
    <phoneticPr fontId="4" type="noConversion"/>
  </si>
  <si>
    <t>传送平带转矩计算</t>
    <phoneticPr fontId="4" type="noConversion"/>
  </si>
  <si>
    <t>滚子链选型向导</t>
    <phoneticPr fontId="4" type="noConversion"/>
  </si>
  <si>
    <t>倍速链选型向导</t>
    <phoneticPr fontId="4" type="noConversion"/>
  </si>
  <si>
    <t>气缸选型向导</t>
    <phoneticPr fontId="4" type="noConversion"/>
  </si>
  <si>
    <t>回转气缸选型向导</t>
    <phoneticPr fontId="4" type="noConversion"/>
  </si>
  <si>
    <t>普通滑台气缸选型向导</t>
    <phoneticPr fontId="4" type="noConversion"/>
  </si>
  <si>
    <r>
      <rPr>
        <u/>
        <sz val="11"/>
        <color theme="10"/>
        <rFont val="宋体"/>
        <family val="3"/>
        <charset val="134"/>
      </rPr>
      <t>精密滑台气缸选型向导</t>
    </r>
    <r>
      <rPr>
        <u/>
        <sz val="11"/>
        <color theme="10"/>
        <rFont val="Tahoma"/>
        <family val="2"/>
      </rPr>
      <t xml:space="preserve"> </t>
    </r>
    <phoneticPr fontId="4" type="noConversion"/>
  </si>
  <si>
    <t>气动手指选型向导</t>
    <phoneticPr fontId="4" type="noConversion"/>
  </si>
  <si>
    <t>电磁阀选型向导</t>
    <phoneticPr fontId="4" type="noConversion"/>
  </si>
  <si>
    <t>真空吸盘与发生器</t>
    <phoneticPr fontId="4" type="noConversion"/>
  </si>
  <si>
    <r>
      <t>2x2</t>
    </r>
    <r>
      <rPr>
        <u/>
        <sz val="11"/>
        <color theme="10"/>
        <rFont val="宋体"/>
        <family val="3"/>
        <charset val="134"/>
      </rPr>
      <t>直线导轨滑块与直线轴承</t>
    </r>
    <phoneticPr fontId="4" type="noConversion"/>
  </si>
  <si>
    <r>
      <t>2x1</t>
    </r>
    <r>
      <rPr>
        <u/>
        <sz val="11"/>
        <color theme="10"/>
        <rFont val="宋体"/>
        <family val="3"/>
        <charset val="134"/>
      </rPr>
      <t>直线导轨滑块与直线轴承</t>
    </r>
    <phoneticPr fontId="4" type="noConversion"/>
  </si>
  <si>
    <r>
      <t>1x1</t>
    </r>
    <r>
      <rPr>
        <u/>
        <sz val="11"/>
        <color theme="10"/>
        <rFont val="宋体"/>
        <family val="3"/>
        <charset val="134"/>
      </rPr>
      <t>直线导轨滑块与直线轴承</t>
    </r>
    <phoneticPr fontId="4" type="noConversion"/>
  </si>
  <si>
    <t>硬度与强度换算</t>
    <phoneticPr fontId="4" type="noConversion"/>
  </si>
  <si>
    <t>管螺纹尺寸对照</t>
    <phoneticPr fontId="4" type="noConversion"/>
  </si>
  <si>
    <r>
      <rPr>
        <u/>
        <sz val="11"/>
        <color theme="10"/>
        <rFont val="宋体"/>
        <family val="3"/>
        <charset val="134"/>
      </rPr>
      <t>反解渐开线</t>
    </r>
    <r>
      <rPr>
        <u/>
        <sz val="11"/>
        <color theme="10"/>
        <rFont val="Tahoma"/>
        <family val="2"/>
      </rPr>
      <t>inv</t>
    </r>
    <phoneticPr fontId="4" type="noConversion"/>
  </si>
  <si>
    <t>目录</t>
    <phoneticPr fontId="4" type="noConversion"/>
  </si>
  <si>
    <r>
      <rPr>
        <sz val="11"/>
        <color theme="1"/>
        <rFont val="宋体"/>
        <family val="3"/>
        <charset val="134"/>
      </rPr>
      <t>导轨摩擦系数</t>
    </r>
    <r>
      <rPr>
        <sz val="11"/>
        <color theme="1"/>
        <rFont val="Tahoma"/>
        <family val="2"/>
      </rPr>
      <t>μ</t>
    </r>
    <phoneticPr fontId="4" type="noConversion"/>
  </si>
  <si>
    <t>初选电机</t>
    <phoneticPr fontId="4" type="noConversion"/>
  </si>
  <si>
    <t>查样本</t>
    <phoneticPr fontId="4" type="noConversion"/>
  </si>
  <si>
    <r>
      <rPr>
        <sz val="11"/>
        <color theme="1"/>
        <rFont val="宋体"/>
        <family val="3"/>
        <charset val="134"/>
      </rPr>
      <t>电机转子惯量</t>
    </r>
    <r>
      <rPr>
        <sz val="11"/>
        <color theme="1"/>
        <rFont val="Tahoma"/>
        <family val="2"/>
      </rPr>
      <t>Jm(kg.cm²)</t>
    </r>
    <phoneticPr fontId="4" type="noConversion"/>
  </si>
  <si>
    <r>
      <rPr>
        <sz val="11"/>
        <color theme="1"/>
        <rFont val="宋体"/>
        <family val="3"/>
        <charset val="134"/>
      </rPr>
      <t>电机最大转速</t>
    </r>
    <r>
      <rPr>
        <sz val="16"/>
        <color theme="1"/>
        <rFont val="Tahoma"/>
        <family val="2"/>
      </rPr>
      <t>n</t>
    </r>
    <r>
      <rPr>
        <sz val="11"/>
        <color theme="1"/>
        <rFont val="Tahoma"/>
        <family val="2"/>
      </rPr>
      <t>0(r/min)</t>
    </r>
    <phoneticPr fontId="4" type="noConversion"/>
  </si>
  <si>
    <t>2*PI*n0/(60*t1)</t>
    <phoneticPr fontId="4" type="noConversion"/>
  </si>
  <si>
    <t>直线轴承/导轨取0.02</t>
    <phoneticPr fontId="4" type="noConversion"/>
  </si>
  <si>
    <r>
      <t>说明：
    渐开线函数</t>
    </r>
    <r>
      <rPr>
        <sz val="11"/>
        <color rgb="FFFF0000"/>
        <rFont val="微软雅黑"/>
        <family val="2"/>
        <charset val="134"/>
      </rPr>
      <t>invθ=tanθ-θ</t>
    </r>
    <r>
      <rPr>
        <sz val="11"/>
        <color theme="1"/>
        <rFont val="微软雅黑"/>
        <family val="2"/>
        <charset val="134"/>
      </rPr>
      <t>（此处为弧度值），反求INV是没有理论公式的，一般是依靠查表，但是由于计算机的计算速度快，因此有两种方法可以求解
    1，一般黄金分割法或者牛顿迭代法来优化求解，需要在excel中编写宏函数，采用有限次迭代计算让结果趋近真值。
    2，利用专家(比如沈守范)研究的公式计算，全域精度可达到1E-6以上，也正是</t>
    </r>
    <r>
      <rPr>
        <sz val="11"/>
        <color rgb="FFFF0000"/>
        <rFont val="微软雅黑"/>
        <family val="2"/>
        <charset val="134"/>
      </rPr>
      <t>本软件使用的方法,</t>
    </r>
    <r>
      <rPr>
        <sz val="11"/>
        <color theme="1"/>
        <rFont val="微软雅黑"/>
        <family val="2"/>
        <charset val="134"/>
      </rPr>
      <t xml:space="preserve">。
</t>
    </r>
    <phoneticPr fontId="4" type="noConversion"/>
  </si>
  <si>
    <t xml:space="preserve">文档信息
编写：图惜
参考：《机械设计——第八版》——蒲良贵、纪名刚
      《机械设计手册——第五版第三卷》——成大先
鸣谢：前桥教育——宣言老师                              2018.7.21
更新日志：
   2018.7.22更新--齿形系数YFa和应力矫正系数Ysa通过三阶函数自动计算，拟合度&gt;99% 。
   2018.7.23更新--兼容斜齿轮强度计算，脑壳都大了，短期不更新了，如果有错误请不吝指教，谢谢。
</t>
    <phoneticPr fontId="4" type="noConversion"/>
  </si>
  <si>
    <r>
      <t>T=K*(Ts+T</t>
    </r>
    <r>
      <rPr>
        <vertAlign val="subscript"/>
        <sz val="14"/>
        <color theme="1"/>
        <rFont val="Tahoma"/>
        <family val="2"/>
      </rPr>
      <t>L</t>
    </r>
    <r>
      <rPr>
        <sz val="11"/>
        <color theme="1"/>
        <rFont val="Tahoma"/>
        <family val="2"/>
      </rPr>
      <t>)</t>
    </r>
    <phoneticPr fontId="4" type="noConversion"/>
  </si>
  <si>
    <t>初选电机型号</t>
    <phoneticPr fontId="4" type="noConversion"/>
  </si>
  <si>
    <r>
      <rPr>
        <sz val="11"/>
        <color theme="1"/>
        <rFont val="宋体"/>
        <family val="3"/>
        <charset val="134"/>
      </rPr>
      <t>转子惯量</t>
    </r>
    <r>
      <rPr>
        <sz val="11"/>
        <color theme="1"/>
        <rFont val="Tahoma"/>
        <family val="2"/>
      </rPr>
      <t>Jm(kg.cm²)</t>
    </r>
    <phoneticPr fontId="4" type="noConversion"/>
  </si>
  <si>
    <t>查样本</t>
    <phoneticPr fontId="4" type="noConversion"/>
  </si>
  <si>
    <t>查样本</t>
    <phoneticPr fontId="4" type="noConversion"/>
  </si>
  <si>
    <t>86YG250A</t>
    <phoneticPr fontId="4" type="noConversion"/>
  </si>
  <si>
    <r>
      <rPr>
        <sz val="11"/>
        <color theme="1"/>
        <rFont val="宋体"/>
        <family val="3"/>
        <charset val="134"/>
      </rPr>
      <t>负载角加速度</t>
    </r>
    <r>
      <rPr>
        <sz val="11"/>
        <color theme="1"/>
        <rFont val="Tahoma"/>
        <family val="2"/>
      </rPr>
      <t>εL(rad/s</t>
    </r>
    <r>
      <rPr>
        <sz val="11"/>
        <color theme="1"/>
        <rFont val="宋体"/>
        <family val="3"/>
        <charset val="134"/>
      </rPr>
      <t>²</t>
    </r>
    <r>
      <rPr>
        <sz val="11"/>
        <color theme="1"/>
        <rFont val="Tahoma"/>
        <family val="2"/>
      </rPr>
      <t>)</t>
    </r>
    <phoneticPr fontId="4" type="noConversion"/>
  </si>
  <si>
    <r>
      <rPr>
        <sz val="11"/>
        <color theme="1"/>
        <rFont val="宋体"/>
        <family val="3"/>
        <charset val="134"/>
      </rPr>
      <t>电机轴角加速度</t>
    </r>
    <r>
      <rPr>
        <sz val="11"/>
        <color theme="1"/>
        <rFont val="Tahoma"/>
        <family val="2"/>
      </rPr>
      <t>εm(rad/s²)</t>
    </r>
    <phoneticPr fontId="4" type="noConversion"/>
  </si>
  <si>
    <r>
      <t>2*PI*</t>
    </r>
    <r>
      <rPr>
        <sz val="16"/>
        <color theme="1"/>
        <rFont val="Tahoma"/>
        <family val="2"/>
      </rPr>
      <t>n</t>
    </r>
    <r>
      <rPr>
        <sz val="11"/>
        <color theme="1"/>
        <rFont val="Tahoma"/>
        <family val="2"/>
      </rPr>
      <t>max/(60*t1)</t>
    </r>
    <phoneticPr fontId="4" type="noConversion"/>
  </si>
  <si>
    <r>
      <t>2*PI*</t>
    </r>
    <r>
      <rPr>
        <sz val="16"/>
        <color theme="1"/>
        <rFont val="Tahoma"/>
        <family val="2"/>
      </rPr>
      <t>n</t>
    </r>
    <r>
      <rPr>
        <sz val="11"/>
        <color theme="1"/>
        <rFont val="Tahoma"/>
        <family val="2"/>
      </rPr>
      <t>0/(60*t1)</t>
    </r>
    <phoneticPr fontId="4" type="noConversion"/>
  </si>
  <si>
    <t>F*Bp/(2*PI*i*η0*η1)</t>
    <phoneticPr fontId="4" type="noConversion"/>
  </si>
  <si>
    <r>
      <rPr>
        <sz val="11"/>
        <color theme="1"/>
        <rFont val="宋体"/>
        <family val="3"/>
        <charset val="134"/>
      </rPr>
      <t>电机轴角加速度</t>
    </r>
    <r>
      <rPr>
        <sz val="11"/>
        <color theme="1"/>
        <rFont val="Tahoma"/>
        <family val="2"/>
      </rPr>
      <t>εm(rad/s²)</t>
    </r>
    <phoneticPr fontId="4" type="noConversion"/>
  </si>
  <si>
    <t>Vmax/t1</t>
    <phoneticPr fontId="4" type="noConversion"/>
  </si>
  <si>
    <r>
      <rPr>
        <sz val="11"/>
        <color theme="1"/>
        <rFont val="宋体"/>
        <family val="3"/>
        <charset val="134"/>
      </rPr>
      <t>链条</t>
    </r>
    <r>
      <rPr>
        <sz val="11"/>
        <color theme="1"/>
        <rFont val="Tahoma"/>
        <family val="2"/>
      </rPr>
      <t>/</t>
    </r>
    <r>
      <rPr>
        <sz val="11"/>
        <color theme="1"/>
        <rFont val="宋体"/>
        <family val="3"/>
        <charset val="134"/>
      </rPr>
      <t>皮带</t>
    </r>
    <r>
      <rPr>
        <sz val="11"/>
        <color theme="1"/>
        <rFont val="Tahoma"/>
        <family val="2"/>
      </rPr>
      <t>/</t>
    </r>
    <r>
      <rPr>
        <sz val="11"/>
        <color theme="1"/>
        <rFont val="宋体"/>
        <family val="3"/>
        <charset val="134"/>
      </rPr>
      <t>齿条传动效率</t>
    </r>
    <r>
      <rPr>
        <sz val="11"/>
        <color theme="1"/>
        <rFont val="Tahoma"/>
        <family val="2"/>
      </rPr>
      <t>η1</t>
    </r>
    <phoneticPr fontId="4" type="noConversion"/>
  </si>
  <si>
    <r>
      <rPr>
        <sz val="11"/>
        <color theme="1"/>
        <rFont val="宋体"/>
        <family val="3"/>
        <charset val="134"/>
      </rPr>
      <t>负载最大线速</t>
    </r>
    <r>
      <rPr>
        <sz val="11"/>
        <color theme="1"/>
        <rFont val="Tahoma"/>
        <family val="2"/>
      </rPr>
      <t>V</t>
    </r>
    <r>
      <rPr>
        <sz val="9"/>
        <color theme="1"/>
        <rFont val="Tahoma"/>
        <family val="2"/>
      </rPr>
      <t>max</t>
    </r>
    <r>
      <rPr>
        <sz val="11"/>
        <color theme="1"/>
        <rFont val="Tahoma"/>
        <family val="2"/>
      </rPr>
      <t>(m/s)</t>
    </r>
    <phoneticPr fontId="4" type="noConversion"/>
  </si>
  <si>
    <r>
      <rPr>
        <sz val="11"/>
        <color theme="1"/>
        <rFont val="宋体"/>
        <family val="3"/>
        <charset val="134"/>
      </rPr>
      <t>负载</t>
    </r>
    <r>
      <rPr>
        <sz val="11"/>
        <color theme="1"/>
        <rFont val="Tahoma"/>
        <family val="2"/>
      </rPr>
      <t>(</t>
    </r>
    <r>
      <rPr>
        <sz val="11"/>
        <color theme="1"/>
        <rFont val="宋体"/>
        <family val="3"/>
        <charset val="134"/>
      </rPr>
      <t>含平台</t>
    </r>
    <r>
      <rPr>
        <sz val="11"/>
        <color theme="1"/>
        <rFont val="Tahoma"/>
        <family val="2"/>
      </rPr>
      <t>)</t>
    </r>
    <r>
      <rPr>
        <sz val="11"/>
        <color theme="1"/>
        <rFont val="宋体"/>
        <family val="3"/>
        <charset val="134"/>
      </rPr>
      <t>总重量</t>
    </r>
    <r>
      <rPr>
        <sz val="11"/>
        <color theme="1"/>
        <rFont val="Tahoma"/>
        <family val="2"/>
      </rPr>
      <t>m1(kg)</t>
    </r>
    <phoneticPr fontId="4" type="noConversion"/>
  </si>
  <si>
    <r>
      <rPr>
        <sz val="11"/>
        <color theme="1"/>
        <rFont val="宋体"/>
        <family val="3"/>
        <charset val="134"/>
      </rPr>
      <t>皮带</t>
    </r>
    <r>
      <rPr>
        <sz val="11"/>
        <color theme="1"/>
        <rFont val="Tahoma"/>
        <family val="2"/>
      </rPr>
      <t>/</t>
    </r>
    <r>
      <rPr>
        <sz val="11"/>
        <color theme="1"/>
        <rFont val="宋体"/>
        <family val="3"/>
        <charset val="134"/>
      </rPr>
      <t>链条</t>
    </r>
    <r>
      <rPr>
        <sz val="11"/>
        <color theme="1"/>
        <rFont val="Tahoma"/>
        <family val="2"/>
      </rPr>
      <t>/</t>
    </r>
    <r>
      <rPr>
        <sz val="11"/>
        <color theme="1"/>
        <rFont val="宋体"/>
        <family val="3"/>
        <charset val="134"/>
      </rPr>
      <t>齿条重量</t>
    </r>
    <r>
      <rPr>
        <sz val="11"/>
        <color theme="1"/>
        <rFont val="Tahoma"/>
        <family val="2"/>
      </rPr>
      <t>m2(kg)</t>
    </r>
    <phoneticPr fontId="4" type="noConversion"/>
  </si>
  <si>
    <r>
      <rPr>
        <sz val="11"/>
        <color theme="1"/>
        <rFont val="宋体"/>
        <family val="3"/>
        <charset val="134"/>
      </rPr>
      <t>齿条填</t>
    </r>
    <r>
      <rPr>
        <sz val="11"/>
        <color theme="1"/>
        <rFont val="Tahoma"/>
        <family val="2"/>
      </rPr>
      <t>0</t>
    </r>
    <phoneticPr fontId="4" type="noConversion"/>
  </si>
  <si>
    <t>86YG250C</t>
    <phoneticPr fontId="4" type="noConversion"/>
  </si>
  <si>
    <r>
      <rPr>
        <sz val="11"/>
        <color theme="1"/>
        <rFont val="宋体"/>
        <family val="3"/>
        <charset val="134"/>
      </rPr>
      <t>齿条固定时填</t>
    </r>
    <r>
      <rPr>
        <sz val="11"/>
        <color theme="1"/>
        <rFont val="Tahoma"/>
        <family val="2"/>
      </rPr>
      <t>0</t>
    </r>
    <phoneticPr fontId="4" type="noConversion"/>
  </si>
  <si>
    <r>
      <t>1</t>
    </r>
    <r>
      <rPr>
        <sz val="11"/>
        <color theme="1"/>
        <rFont val="宋体"/>
        <family val="3"/>
        <charset val="134"/>
      </rPr>
      <t xml:space="preserve">，计算负载转
</t>
    </r>
    <r>
      <rPr>
        <sz val="11"/>
        <color theme="1"/>
        <rFont val="Tahoma"/>
        <family val="2"/>
      </rPr>
      <t xml:space="preserve">     </t>
    </r>
    <r>
      <rPr>
        <sz val="11"/>
        <color theme="1"/>
        <rFont val="宋体"/>
        <family val="3"/>
        <charset val="134"/>
      </rPr>
      <t xml:space="preserve">速，判断是
</t>
    </r>
    <r>
      <rPr>
        <sz val="11"/>
        <color theme="1"/>
        <rFont val="Tahoma"/>
        <family val="2"/>
      </rPr>
      <t xml:space="preserve">     </t>
    </r>
    <r>
      <rPr>
        <sz val="11"/>
        <color theme="1"/>
        <rFont val="宋体"/>
        <family val="3"/>
        <charset val="134"/>
      </rPr>
      <t xml:space="preserve">否可以使用
</t>
    </r>
    <r>
      <rPr>
        <sz val="11"/>
        <color theme="1"/>
        <rFont val="Tahoma"/>
        <family val="2"/>
      </rPr>
      <t xml:space="preserve">     </t>
    </r>
    <r>
      <rPr>
        <sz val="11"/>
        <color theme="1"/>
        <rFont val="宋体"/>
        <family val="3"/>
        <charset val="134"/>
      </rPr>
      <t>步进</t>
    </r>
    <r>
      <rPr>
        <sz val="11"/>
        <color theme="1"/>
        <rFont val="Tahoma"/>
        <family val="2"/>
      </rPr>
      <t>/</t>
    </r>
    <r>
      <rPr>
        <sz val="11"/>
        <color theme="1"/>
        <rFont val="宋体"/>
        <family val="3"/>
        <charset val="134"/>
      </rPr>
      <t>伺服</t>
    </r>
    <r>
      <rPr>
        <sz val="11"/>
        <color theme="1"/>
        <rFont val="Tahoma"/>
        <family val="2"/>
      </rPr>
      <t xml:space="preserve"> 
     </t>
    </r>
    <r>
      <rPr>
        <sz val="11"/>
        <color theme="1"/>
        <rFont val="宋体"/>
        <family val="3"/>
        <charset val="134"/>
      </rPr>
      <t>电机</t>
    </r>
    <phoneticPr fontId="4" type="noConversion"/>
  </si>
  <si>
    <r>
      <t>1</t>
    </r>
    <r>
      <rPr>
        <sz val="11"/>
        <color theme="1"/>
        <rFont val="宋体"/>
        <family val="3"/>
        <charset val="134"/>
      </rPr>
      <t xml:space="preserve">，计算负载转
</t>
    </r>
    <r>
      <rPr>
        <sz val="11"/>
        <color theme="1"/>
        <rFont val="Tahoma"/>
        <family val="2"/>
      </rPr>
      <t xml:space="preserve">     </t>
    </r>
    <r>
      <rPr>
        <sz val="11"/>
        <color theme="1"/>
        <rFont val="宋体"/>
        <family val="3"/>
        <charset val="134"/>
      </rPr>
      <t xml:space="preserve">速，判断是
</t>
    </r>
    <r>
      <rPr>
        <sz val="11"/>
        <color theme="1"/>
        <rFont val="Tahoma"/>
        <family val="2"/>
      </rPr>
      <t xml:space="preserve">     </t>
    </r>
    <r>
      <rPr>
        <sz val="11"/>
        <color theme="1"/>
        <rFont val="宋体"/>
        <family val="3"/>
        <charset val="134"/>
      </rPr>
      <t xml:space="preserve">否可以使用
</t>
    </r>
    <r>
      <rPr>
        <sz val="11"/>
        <color theme="1"/>
        <rFont val="Tahoma"/>
        <family val="2"/>
      </rPr>
      <t xml:space="preserve">     </t>
    </r>
    <r>
      <rPr>
        <sz val="11"/>
        <color theme="1"/>
        <rFont val="宋体"/>
        <family val="3"/>
        <charset val="134"/>
      </rPr>
      <t>步进</t>
    </r>
    <r>
      <rPr>
        <sz val="11"/>
        <color theme="1"/>
        <rFont val="Tahoma"/>
        <family val="2"/>
      </rPr>
      <t>/</t>
    </r>
    <r>
      <rPr>
        <sz val="11"/>
        <color theme="1"/>
        <rFont val="宋体"/>
        <family val="3"/>
        <charset val="134"/>
      </rPr>
      <t>伺服</t>
    </r>
    <r>
      <rPr>
        <sz val="11"/>
        <color theme="1"/>
        <rFont val="Tahoma"/>
        <family val="2"/>
      </rPr>
      <t xml:space="preserve"> 
     </t>
    </r>
    <r>
      <rPr>
        <sz val="11"/>
        <color theme="1"/>
        <rFont val="宋体"/>
        <family val="3"/>
        <charset val="134"/>
      </rPr>
      <t>电机</t>
    </r>
    <phoneticPr fontId="4" type="noConversion"/>
  </si>
  <si>
    <r>
      <rPr>
        <sz val="11"/>
        <color theme="1"/>
        <rFont val="宋体"/>
        <family val="3"/>
        <charset val="134"/>
      </rPr>
      <t>表2</t>
    </r>
    <r>
      <rPr>
        <sz val="11"/>
        <color theme="1"/>
        <rFont val="Tahoma"/>
        <family val="2"/>
      </rPr>
      <t xml:space="preserve"> </t>
    </r>
    <r>
      <rPr>
        <sz val="11"/>
        <color theme="1"/>
        <rFont val="宋体"/>
        <family val="3"/>
        <charset val="134"/>
      </rPr>
      <t>百格拉步进电机样本截图</t>
    </r>
    <phoneticPr fontId="4" type="noConversion"/>
  </si>
  <si>
    <t>判断是否适用步进/伺服电机</t>
    <phoneticPr fontId="4" type="noConversion"/>
  </si>
  <si>
    <t>60SG-M01330</t>
    <phoneticPr fontId="4" type="noConversion"/>
  </si>
  <si>
    <r>
      <rPr>
        <sz val="11"/>
        <color theme="1"/>
        <rFont val="宋体"/>
        <family val="3"/>
        <charset val="134"/>
      </rPr>
      <t>电机保持</t>
    </r>
    <r>
      <rPr>
        <sz val="11"/>
        <color theme="1"/>
        <rFont val="Tahoma"/>
        <family val="2"/>
      </rPr>
      <t>/</t>
    </r>
    <r>
      <rPr>
        <sz val="11"/>
        <color theme="1"/>
        <rFont val="宋体"/>
        <family val="3"/>
        <charset val="134"/>
      </rPr>
      <t>额定力矩</t>
    </r>
    <r>
      <rPr>
        <sz val="11"/>
        <color theme="1"/>
        <rFont val="Tahoma"/>
        <family val="2"/>
      </rPr>
      <t>Jm(kg.cm²)</t>
    </r>
    <phoneticPr fontId="4" type="noConversion"/>
  </si>
  <si>
    <r>
      <t>4</t>
    </r>
    <r>
      <rPr>
        <sz val="11"/>
        <color theme="1"/>
        <rFont val="宋体"/>
        <family val="3"/>
        <charset val="134"/>
      </rPr>
      <t>，校核转矩</t>
    </r>
    <phoneticPr fontId="4" type="noConversion"/>
  </si>
  <si>
    <t>校核电机转矩</t>
    <phoneticPr fontId="4" type="noConversion"/>
  </si>
  <si>
    <r>
      <rPr>
        <sz val="11"/>
        <color theme="1"/>
        <rFont val="宋体"/>
        <family val="3"/>
        <charset val="134"/>
      </rPr>
      <t>计算电机保持</t>
    </r>
    <r>
      <rPr>
        <sz val="11"/>
        <color theme="1"/>
        <rFont val="Tahoma"/>
        <family val="2"/>
      </rPr>
      <t>/</t>
    </r>
    <r>
      <rPr>
        <sz val="11"/>
        <color theme="1"/>
        <rFont val="宋体"/>
        <family val="3"/>
        <charset val="134"/>
      </rPr>
      <t>额定转矩</t>
    </r>
    <r>
      <rPr>
        <sz val="11"/>
        <color theme="1"/>
        <rFont val="Tahoma"/>
        <family val="2"/>
      </rPr>
      <t>T(N.m)</t>
    </r>
    <phoneticPr fontId="4" type="noConversion"/>
  </si>
  <si>
    <r>
      <rPr>
        <sz val="11"/>
        <color theme="1"/>
        <rFont val="宋体"/>
        <family val="3"/>
        <charset val="134"/>
      </rPr>
      <t>电机保持</t>
    </r>
    <r>
      <rPr>
        <sz val="11"/>
        <color theme="1"/>
        <rFont val="Tahoma"/>
        <family val="2"/>
      </rPr>
      <t>/</t>
    </r>
    <r>
      <rPr>
        <sz val="11"/>
        <color theme="1"/>
        <rFont val="宋体"/>
        <family val="3"/>
        <charset val="134"/>
      </rPr>
      <t>额定力矩</t>
    </r>
    <r>
      <rPr>
        <sz val="11"/>
        <color theme="1"/>
        <rFont val="Tahoma"/>
        <family val="2"/>
      </rPr>
      <t>Tm(kg.cm²)</t>
    </r>
    <phoneticPr fontId="4" type="noConversion"/>
  </si>
  <si>
    <r>
      <t>3</t>
    </r>
    <r>
      <rPr>
        <sz val="11"/>
        <color theme="1"/>
        <rFont val="宋体"/>
        <family val="3"/>
        <charset val="134"/>
      </rPr>
      <t>，根据转动惯</t>
    </r>
    <r>
      <rPr>
        <sz val="11"/>
        <color theme="1"/>
        <rFont val="Tahoma"/>
        <family val="2"/>
      </rPr>
      <t xml:space="preserve"> 
    </t>
    </r>
    <r>
      <rPr>
        <sz val="11"/>
        <color theme="1"/>
        <rFont val="宋体"/>
        <family val="3"/>
        <charset val="134"/>
      </rPr>
      <t>量初选电机</t>
    </r>
    <phoneticPr fontId="4" type="noConversion"/>
  </si>
  <si>
    <r>
      <t>5</t>
    </r>
    <r>
      <rPr>
        <sz val="11"/>
        <color theme="1"/>
        <rFont val="宋体"/>
        <family val="3"/>
        <charset val="134"/>
      </rPr>
      <t>，电机型</t>
    </r>
    <r>
      <rPr>
        <sz val="11"/>
        <color theme="1"/>
        <rFont val="宋体"/>
        <family val="3"/>
        <charset val="134"/>
      </rPr>
      <t>号</t>
    </r>
    <phoneticPr fontId="4" type="noConversion"/>
  </si>
  <si>
    <t>表2，伺服电机不做</t>
    <phoneticPr fontId="4" type="noConversion"/>
  </si>
  <si>
    <r>
      <rPr>
        <sz val="11"/>
        <rFont val="宋体"/>
        <family val="3"/>
        <charset val="134"/>
      </rPr>
      <t>最小细分数</t>
    </r>
    <r>
      <rPr>
        <sz val="11"/>
        <rFont val="Tahoma"/>
        <family val="2"/>
      </rPr>
      <t>N</t>
    </r>
    <r>
      <rPr>
        <sz val="10"/>
        <rFont val="宋体"/>
        <family val="3"/>
        <charset val="134"/>
      </rPr>
      <t>(1,2,4,8,16,32)</t>
    </r>
    <phoneticPr fontId="4" type="noConversion"/>
  </si>
  <si>
    <t>电机步距角α</t>
    <phoneticPr fontId="4" type="noConversion"/>
  </si>
  <si>
    <t>表2，伺服电机不做</t>
    <phoneticPr fontId="4" type="noConversion"/>
  </si>
  <si>
    <r>
      <rPr>
        <sz val="11"/>
        <color theme="0" tint="-0.499984740745262"/>
        <rFont val="宋体"/>
        <family val="3"/>
        <charset val="134"/>
      </rPr>
      <t>最小细分数</t>
    </r>
    <r>
      <rPr>
        <sz val="11"/>
        <color theme="0" tint="-0.499984740745262"/>
        <rFont val="Tahoma"/>
        <family val="2"/>
      </rPr>
      <t>N</t>
    </r>
    <r>
      <rPr>
        <sz val="10"/>
        <color theme="0" tint="-0.499984740745262"/>
        <rFont val="宋体"/>
        <family val="3"/>
        <charset val="134"/>
      </rPr>
      <t>(1,2,4,8,16,32)</t>
    </r>
    <phoneticPr fontId="4" type="noConversion"/>
  </si>
  <si>
    <r>
      <rPr>
        <sz val="11"/>
        <color theme="1"/>
        <rFont val="宋体"/>
        <family val="3"/>
        <charset val="134"/>
      </rPr>
      <t>表</t>
    </r>
    <r>
      <rPr>
        <sz val="11"/>
        <color theme="1"/>
        <rFont val="Tahoma"/>
        <family val="2"/>
      </rPr>
      <t xml:space="preserve">3 </t>
    </r>
    <r>
      <rPr>
        <sz val="11"/>
        <color theme="1"/>
        <rFont val="宋体"/>
        <family val="3"/>
        <charset val="134"/>
      </rPr>
      <t>百格拉</t>
    </r>
    <r>
      <rPr>
        <sz val="11"/>
        <color theme="1"/>
        <rFont val="Tahoma"/>
        <family val="2"/>
      </rPr>
      <t>60</t>
    </r>
    <r>
      <rPr>
        <sz val="11"/>
        <color theme="1"/>
        <rFont val="宋体"/>
        <family val="3"/>
        <charset val="134"/>
      </rPr>
      <t>机座伺服电机样本截图</t>
    </r>
    <phoneticPr fontId="4" type="noConversion"/>
  </si>
  <si>
    <r>
      <rPr>
        <sz val="11"/>
        <color theme="0" tint="-0.499984740745262"/>
        <rFont val="宋体"/>
        <family val="3"/>
        <charset val="134"/>
      </rPr>
      <t>要求精度</t>
    </r>
    <r>
      <rPr>
        <sz val="11"/>
        <color theme="0" tint="-0.499984740745262"/>
        <rFont val="Tahoma"/>
        <family val="2"/>
      </rPr>
      <t>(±mm)</t>
    </r>
    <phoneticPr fontId="4" type="noConversion"/>
  </si>
  <si>
    <r>
      <rPr>
        <sz val="11"/>
        <color theme="0" tint="-0.499984740745262"/>
        <rFont val="宋体"/>
        <family val="3"/>
        <charset val="134"/>
      </rPr>
      <t>细分后最大步距角β</t>
    </r>
    <r>
      <rPr>
        <sz val="11"/>
        <color theme="0" tint="-0.499984740745262"/>
        <rFont val="Tahoma"/>
        <family val="2"/>
      </rPr>
      <t>(°)</t>
    </r>
    <phoneticPr fontId="4" type="noConversion"/>
  </si>
  <si>
    <r>
      <t>电机或减速机连接丝杆(直线轴承/滑块导向)</t>
    </r>
    <r>
      <rPr>
        <b/>
        <sz val="11"/>
        <rFont val="宋体"/>
        <family val="3"/>
        <charset val="134"/>
      </rPr>
      <t>--常用伺服电机</t>
    </r>
    <phoneticPr fontId="4" type="noConversion"/>
  </si>
  <si>
    <r>
      <t>平带传送机构</t>
    </r>
    <r>
      <rPr>
        <b/>
        <sz val="11"/>
        <rFont val="宋体"/>
        <family val="3"/>
        <charset val="134"/>
      </rPr>
      <t>--常用步进电机</t>
    </r>
    <phoneticPr fontId="4" type="noConversion"/>
  </si>
  <si>
    <t>理论上负载折算到电机轴的惯量与电机转子惯量比 ≤ 5</t>
    <phoneticPr fontId="4" type="noConversion"/>
  </si>
  <si>
    <r>
      <rPr>
        <sz val="11"/>
        <color theme="1"/>
        <rFont val="宋体"/>
        <family val="3"/>
        <charset val="134"/>
      </rPr>
      <t>减速机效率</t>
    </r>
    <r>
      <rPr>
        <sz val="11"/>
        <color theme="1"/>
        <rFont val="Tahoma"/>
        <family val="2"/>
      </rPr>
      <t xml:space="preserve"> η(</t>
    </r>
    <r>
      <rPr>
        <sz val="11"/>
        <color theme="1"/>
        <rFont val="宋体"/>
        <family val="3"/>
        <charset val="134"/>
      </rPr>
      <t>直连填</t>
    </r>
    <r>
      <rPr>
        <sz val="11"/>
        <color theme="1"/>
        <rFont val="Tahoma"/>
        <family val="2"/>
      </rPr>
      <t>1)</t>
    </r>
    <phoneticPr fontId="4" type="noConversion"/>
  </si>
  <si>
    <t>J"=J1/(i²*η)+J0</t>
    <phoneticPr fontId="4" type="noConversion"/>
  </si>
  <si>
    <t>J20/[(d2/d1)^2*η1]</t>
    <phoneticPr fontId="4" type="noConversion"/>
  </si>
  <si>
    <t>(J1+J2+J3)/(i²*η0)+J'</t>
    <phoneticPr fontId="4" type="noConversion"/>
  </si>
  <si>
    <t>最大允许惯量比</t>
    <phoneticPr fontId="4" type="noConversion"/>
  </si>
  <si>
    <r>
      <rPr>
        <sz val="11"/>
        <color theme="1"/>
        <rFont val="宋体"/>
        <family val="3"/>
        <charset val="134"/>
      </rPr>
      <t>需电机转子惯量</t>
    </r>
    <r>
      <rPr>
        <sz val="11"/>
        <color theme="1"/>
        <rFont val="Tahoma"/>
        <family val="2"/>
      </rPr>
      <t>J(kg.cm²)</t>
    </r>
    <phoneticPr fontId="4" type="noConversion"/>
  </si>
  <si>
    <r>
      <rPr>
        <sz val="11"/>
        <color theme="1"/>
        <rFont val="宋体"/>
        <family val="3"/>
        <charset val="134"/>
      </rPr>
      <t>电机轴负载转矩</t>
    </r>
    <r>
      <rPr>
        <sz val="11"/>
        <color theme="1"/>
        <rFont val="Tahoma"/>
        <family val="2"/>
      </rPr>
      <t>T</t>
    </r>
    <r>
      <rPr>
        <vertAlign val="subscript"/>
        <sz val="14"/>
        <color theme="1"/>
        <rFont val="Tahoma"/>
        <family val="2"/>
      </rPr>
      <t>L</t>
    </r>
    <r>
      <rPr>
        <sz val="11"/>
        <color theme="1"/>
        <rFont val="Tahoma"/>
        <family val="2"/>
      </rPr>
      <t>(N.m)</t>
    </r>
    <phoneticPr fontId="4" type="noConversion"/>
  </si>
  <si>
    <r>
      <rPr>
        <sz val="11"/>
        <color theme="1"/>
        <rFont val="宋体"/>
        <family val="3"/>
        <charset val="134"/>
      </rPr>
      <t>因为摩擦负载及小故忽略</t>
    </r>
    <phoneticPr fontId="4" type="noConversion"/>
  </si>
  <si>
    <r>
      <t>T=K*(Ts+T</t>
    </r>
    <r>
      <rPr>
        <vertAlign val="subscript"/>
        <sz val="14"/>
        <color theme="1"/>
        <rFont val="Tahoma"/>
        <family val="2"/>
      </rPr>
      <t>L</t>
    </r>
    <r>
      <rPr>
        <sz val="11"/>
        <color theme="1"/>
        <rFont val="Tahoma"/>
        <family val="2"/>
      </rPr>
      <t>)</t>
    </r>
    <phoneticPr fontId="4" type="noConversion"/>
  </si>
  <si>
    <t>(J"+Jm)*εm</t>
    <phoneticPr fontId="4" type="noConversion"/>
  </si>
  <si>
    <t>T0=(J“+Jm)*εm</t>
    <phoneticPr fontId="4" type="noConversion"/>
  </si>
  <si>
    <r>
      <rPr>
        <sz val="11"/>
        <color theme="1"/>
        <rFont val="宋体"/>
        <family val="3"/>
        <charset val="134"/>
      </rPr>
      <t>表</t>
    </r>
    <r>
      <rPr>
        <sz val="11"/>
        <color theme="1"/>
        <rFont val="Tahoma"/>
        <family val="2"/>
      </rPr>
      <t>2</t>
    </r>
    <r>
      <rPr>
        <sz val="11"/>
        <color theme="1"/>
        <rFont val="宋体"/>
        <family val="3"/>
        <charset val="134"/>
      </rPr>
      <t>，伺服电机不做</t>
    </r>
    <phoneticPr fontId="4" type="noConversion"/>
  </si>
  <si>
    <r>
      <t>4</t>
    </r>
    <r>
      <rPr>
        <sz val="11"/>
        <color theme="1"/>
        <rFont val="宋体"/>
        <family val="3"/>
        <charset val="134"/>
      </rPr>
      <t>，校核转矩</t>
    </r>
    <phoneticPr fontId="4" type="noConversion"/>
  </si>
  <si>
    <r>
      <rPr>
        <sz val="11"/>
        <color theme="1"/>
        <rFont val="宋体"/>
        <family val="3"/>
        <charset val="134"/>
      </rPr>
      <t>细分后最大步距角</t>
    </r>
    <r>
      <rPr>
        <sz val="11"/>
        <color theme="1"/>
        <rFont val="Tahoma"/>
        <family val="2"/>
      </rPr>
      <t>β(°)</t>
    </r>
    <phoneticPr fontId="4" type="noConversion"/>
  </si>
  <si>
    <t>往复</t>
  </si>
  <si>
    <t>T=F*d1/2/(i*η0*η1)</t>
    <phoneticPr fontId="4" type="noConversion"/>
  </si>
  <si>
    <t>T=K*TL</t>
    <phoneticPr fontId="4" type="noConversion"/>
  </si>
  <si>
    <r>
      <rPr>
        <sz val="11"/>
        <color theme="1"/>
        <rFont val="宋体"/>
        <family val="3"/>
        <charset val="134"/>
      </rPr>
      <t>简易算法取</t>
    </r>
    <r>
      <rPr>
        <sz val="11"/>
        <color theme="1"/>
        <rFont val="Tahoma"/>
        <family val="2"/>
      </rPr>
      <t>2</t>
    </r>
    <phoneticPr fontId="4" type="noConversion"/>
  </si>
  <si>
    <r>
      <t>1~1.5,</t>
    </r>
    <r>
      <rPr>
        <sz val="11"/>
        <color theme="1"/>
        <rFont val="宋体"/>
        <family val="3"/>
        <charset val="134"/>
      </rPr>
      <t>水平取小竖直取大</t>
    </r>
    <phoneticPr fontId="4" type="noConversion"/>
  </si>
  <si>
    <r>
      <rPr>
        <sz val="11"/>
        <color theme="1"/>
        <rFont val="宋体"/>
        <family val="3"/>
        <charset val="134"/>
      </rPr>
      <t>一般取</t>
    </r>
    <r>
      <rPr>
        <sz val="11"/>
        <color theme="1"/>
        <rFont val="Tahoma"/>
        <family val="2"/>
      </rPr>
      <t>1~2</t>
    </r>
    <phoneticPr fontId="4" type="noConversion"/>
  </si>
  <si>
    <r>
      <rPr>
        <sz val="11"/>
        <color theme="1"/>
        <rFont val="宋体"/>
        <family val="3"/>
        <charset val="134"/>
      </rPr>
      <t>皮带总重量</t>
    </r>
    <r>
      <rPr>
        <sz val="11"/>
        <color theme="1"/>
        <rFont val="Tahoma"/>
        <family val="2"/>
      </rPr>
      <t>m2(kg)</t>
    </r>
    <phoneticPr fontId="4" type="noConversion"/>
  </si>
  <si>
    <r>
      <rPr>
        <sz val="11"/>
        <color theme="1"/>
        <rFont val="宋体"/>
        <family val="3"/>
        <charset val="134"/>
      </rPr>
      <t>从滚筒惯量</t>
    </r>
    <r>
      <rPr>
        <sz val="11"/>
        <color theme="1"/>
        <rFont val="Tahoma"/>
        <family val="2"/>
      </rPr>
      <t>J20(kg.cm²)</t>
    </r>
    <phoneticPr fontId="4" type="noConversion"/>
  </si>
  <si>
    <t>J20/*η1</t>
    <phoneticPr fontId="4" type="noConversion"/>
  </si>
  <si>
    <r>
      <rPr>
        <sz val="11"/>
        <color theme="1"/>
        <rFont val="宋体"/>
        <family val="3"/>
        <charset val="134"/>
      </rPr>
      <t>从滚筒折算到主滚筒惯量</t>
    </r>
    <r>
      <rPr>
        <sz val="11"/>
        <color theme="1"/>
        <rFont val="Tahoma"/>
        <family val="2"/>
      </rPr>
      <t>J2(kg.cm</t>
    </r>
    <r>
      <rPr>
        <sz val="11"/>
        <color theme="1"/>
        <rFont val="宋体"/>
        <family val="3"/>
        <charset val="134"/>
      </rPr>
      <t>²</t>
    </r>
    <r>
      <rPr>
        <sz val="11"/>
        <color theme="1"/>
        <rFont val="Tahoma"/>
        <family val="2"/>
      </rPr>
      <t>)</t>
    </r>
    <phoneticPr fontId="4" type="noConversion"/>
  </si>
  <si>
    <t>86YG250B</t>
    <phoneticPr fontId="4" type="noConversion"/>
  </si>
  <si>
    <t>简易算法取2</t>
    <phoneticPr fontId="4" type="noConversion"/>
  </si>
  <si>
    <t>算法同标准算法</t>
    <phoneticPr fontId="4" type="noConversion"/>
  </si>
  <si>
    <r>
      <t>5</t>
    </r>
    <r>
      <rPr>
        <sz val="11"/>
        <color theme="1"/>
        <rFont val="宋体"/>
        <family val="3"/>
        <charset val="134"/>
      </rPr>
      <t>，转动惯量</t>
    </r>
    <phoneticPr fontId="4" type="noConversion"/>
  </si>
  <si>
    <r>
      <t>6</t>
    </r>
    <r>
      <rPr>
        <sz val="11"/>
        <color theme="1"/>
        <rFont val="宋体"/>
        <family val="3"/>
        <charset val="134"/>
      </rPr>
      <t>，电机选型</t>
    </r>
    <phoneticPr fontId="4" type="noConversion"/>
  </si>
  <si>
    <r>
      <t>6</t>
    </r>
    <r>
      <rPr>
        <sz val="11"/>
        <color theme="1"/>
        <rFont val="宋体"/>
        <family val="3"/>
        <charset val="134"/>
      </rPr>
      <t>，电机选型</t>
    </r>
    <phoneticPr fontId="4" type="noConversion"/>
  </si>
  <si>
    <r>
      <rPr>
        <sz val="12"/>
        <color theme="1"/>
        <rFont val="宋体"/>
        <family val="3"/>
        <charset val="134"/>
      </rPr>
      <t>文档信息
编写：图惜
参考：《步进电机选型计算》</t>
    </r>
    <r>
      <rPr>
        <sz val="12"/>
        <color theme="1"/>
        <rFont val="Tahoma"/>
        <family val="2"/>
      </rPr>
      <t>——(</t>
    </r>
    <r>
      <rPr>
        <sz val="12"/>
        <color theme="1"/>
        <rFont val="宋体"/>
        <family val="3"/>
        <charset val="134"/>
      </rPr>
      <t>前桥教育</t>
    </r>
    <r>
      <rPr>
        <sz val="12"/>
        <color theme="1"/>
        <rFont val="Tahoma"/>
        <family val="2"/>
      </rPr>
      <t xml:space="preserve">) </t>
    </r>
    <r>
      <rPr>
        <sz val="12"/>
        <color theme="1"/>
        <rFont val="宋体"/>
        <family val="3"/>
        <charset val="134"/>
      </rPr>
      <t xml:space="preserve">宣言
</t>
    </r>
    <r>
      <rPr>
        <sz val="12"/>
        <color theme="1"/>
        <rFont val="Tahoma"/>
        <family val="2"/>
      </rPr>
      <t xml:space="preserve">         </t>
    </r>
    <r>
      <rPr>
        <sz val="12"/>
        <color theme="1"/>
        <rFont val="宋体"/>
        <family val="3"/>
        <charset val="134"/>
      </rPr>
      <t xml:space="preserve">《步进电机常识与选型计算》——小丸子教育
</t>
    </r>
    <r>
      <rPr>
        <sz val="12"/>
        <color theme="1"/>
        <rFont val="Tahoma"/>
        <family val="2"/>
      </rPr>
      <t xml:space="preserve">         </t>
    </r>
    <r>
      <rPr>
        <sz val="12"/>
        <color theme="1"/>
        <rFont val="宋体"/>
        <family val="3"/>
        <charset val="134"/>
      </rPr>
      <t xml:space="preserve">《步进电机及驱动器讲座》——雷赛科技
</t>
    </r>
    <r>
      <rPr>
        <sz val="12"/>
        <color theme="1"/>
        <rFont val="Tahoma"/>
        <family val="2"/>
      </rPr>
      <t xml:space="preserve">         </t>
    </r>
    <r>
      <rPr>
        <sz val="12"/>
        <color theme="1"/>
        <rFont val="宋体"/>
        <family val="3"/>
        <charset val="134"/>
      </rPr>
      <t>《步进电机选型力矩</t>
    </r>
    <r>
      <rPr>
        <sz val="12"/>
        <color theme="1"/>
        <rFont val="Tahoma"/>
        <family val="2"/>
      </rPr>
      <t>(</t>
    </r>
    <r>
      <rPr>
        <sz val="12"/>
        <color theme="1"/>
        <rFont val="宋体"/>
        <family val="3"/>
        <charset val="134"/>
      </rPr>
      <t>功率</t>
    </r>
    <r>
      <rPr>
        <sz val="12"/>
        <color theme="1"/>
        <rFont val="Tahoma"/>
        <family val="2"/>
      </rPr>
      <t>)</t>
    </r>
    <r>
      <rPr>
        <sz val="12"/>
        <color theme="1"/>
        <rFont val="宋体"/>
        <family val="3"/>
        <charset val="134"/>
      </rPr>
      <t xml:space="preserve">计算公式》——作者不详，但是很全面
</t>
    </r>
    <r>
      <rPr>
        <sz val="12"/>
        <color theme="1"/>
        <rFont val="Tahoma"/>
        <family val="2"/>
      </rPr>
      <t xml:space="preserve">         </t>
    </r>
    <r>
      <rPr>
        <sz val="12"/>
        <color theme="1"/>
        <rFont val="宋体"/>
        <family val="3"/>
        <charset val="134"/>
      </rPr>
      <t xml:space="preserve">《松下伺服电机选型》——松下
</t>
    </r>
    <r>
      <rPr>
        <sz val="12"/>
        <color theme="1"/>
        <rFont val="Tahoma"/>
        <family val="2"/>
      </rPr>
      <t xml:space="preserve">         </t>
    </r>
    <r>
      <rPr>
        <sz val="12"/>
        <color theme="1"/>
        <rFont val="宋体"/>
        <family val="3"/>
        <charset val="134"/>
      </rPr>
      <t>《常用机构的转动惯量与扭矩的计算》——作者不详</t>
    </r>
    <r>
      <rPr>
        <sz val="12"/>
        <color theme="1"/>
        <rFont val="Tahoma"/>
        <family val="2"/>
      </rPr>
      <t xml:space="preserve">                                                                                                                                                                       </t>
    </r>
    <r>
      <rPr>
        <sz val="12"/>
        <color theme="1"/>
        <rFont val="宋体"/>
        <family val="3"/>
        <charset val="134"/>
      </rPr>
      <t>更新日志：</t>
    </r>
    <r>
      <rPr>
        <sz val="12"/>
        <color theme="1"/>
        <rFont val="Tahoma"/>
        <family val="2"/>
      </rPr>
      <t>2018.8.21</t>
    </r>
    <r>
      <rPr>
        <sz val="12"/>
        <color theme="1"/>
        <rFont val="宋体"/>
        <family val="3"/>
        <charset val="134"/>
      </rPr>
      <t xml:space="preserve">完成初稿；
</t>
    </r>
    <r>
      <rPr>
        <sz val="12"/>
        <color theme="1"/>
        <rFont val="Tahoma"/>
        <family val="2"/>
      </rPr>
      <t xml:space="preserve">                2018.8.22</t>
    </r>
    <r>
      <rPr>
        <sz val="12"/>
        <color theme="1"/>
        <rFont val="宋体"/>
        <family val="3"/>
        <charset val="134"/>
      </rPr>
      <t>更正《电机或减速机连接丝杆》中力矩计算公式；</t>
    </r>
    <r>
      <rPr>
        <sz val="12"/>
        <color theme="1"/>
        <rFont val="Tahoma"/>
        <family val="2"/>
      </rPr>
      <t xml:space="preserve"> 
                2018.9.5</t>
    </r>
    <r>
      <rPr>
        <sz val="12"/>
        <color theme="1"/>
        <rFont val="宋体"/>
        <family val="3"/>
        <charset val="134"/>
      </rPr>
      <t>更正所有公式，并说明简易算法和标准算法安全系数取值。</t>
    </r>
    <r>
      <rPr>
        <sz val="12"/>
        <color theme="1"/>
        <rFont val="Tahoma"/>
        <family val="2"/>
      </rPr>
      <t xml:space="preserve"> </t>
    </r>
    <phoneticPr fontId="4" type="noConversion"/>
  </si>
  <si>
    <t>步进/伺服电机选型向导合集</t>
    <phoneticPr fontId="4" type="noConversion"/>
  </si>
  <si>
    <r>
      <t>2</t>
    </r>
    <r>
      <rPr>
        <sz val="11"/>
        <color theme="1"/>
        <rFont val="宋体"/>
        <family val="3"/>
        <charset val="134"/>
      </rPr>
      <t xml:space="preserve">，确定步进电
</t>
    </r>
    <r>
      <rPr>
        <sz val="11"/>
        <color theme="1"/>
        <rFont val="Tahoma"/>
        <family val="2"/>
      </rPr>
      <t xml:space="preserve">    </t>
    </r>
    <r>
      <rPr>
        <sz val="11"/>
        <color theme="1"/>
        <rFont val="宋体"/>
        <family val="3"/>
        <charset val="134"/>
      </rPr>
      <t>机细分精度</t>
    </r>
    <r>
      <rPr>
        <sz val="11"/>
        <color theme="1"/>
        <rFont val="Tahoma"/>
        <family val="2"/>
      </rPr>
      <t>(</t>
    </r>
    <r>
      <rPr>
        <sz val="11"/>
        <color theme="1"/>
        <rFont val="宋体"/>
        <family val="3"/>
        <charset val="134"/>
      </rPr>
      <t>伺服电机不做</t>
    </r>
    <r>
      <rPr>
        <sz val="11"/>
        <color theme="1"/>
        <rFont val="Tahoma"/>
        <family val="2"/>
      </rPr>
      <t>)</t>
    </r>
    <phoneticPr fontId="4" type="noConversion"/>
  </si>
  <si>
    <r>
      <t>3</t>
    </r>
    <r>
      <rPr>
        <sz val="11"/>
        <color theme="1"/>
        <rFont val="宋体"/>
        <family val="3"/>
        <charset val="134"/>
      </rPr>
      <t>，根据转动惯</t>
    </r>
    <r>
      <rPr>
        <sz val="11"/>
        <color theme="1"/>
        <rFont val="Tahoma"/>
        <family val="2"/>
      </rPr>
      <t xml:space="preserve"> 
     </t>
    </r>
    <r>
      <rPr>
        <sz val="11"/>
        <color theme="1"/>
        <rFont val="宋体"/>
        <family val="3"/>
        <charset val="134"/>
      </rPr>
      <t>量初选电机</t>
    </r>
    <phoneticPr fontId="4" type="noConversion"/>
  </si>
  <si>
    <r>
      <t>2</t>
    </r>
    <r>
      <rPr>
        <sz val="10.5"/>
        <rFont val="宋体"/>
        <family val="3"/>
        <charset val="134"/>
      </rPr>
      <t xml:space="preserve">，确定步进电
</t>
    </r>
    <r>
      <rPr>
        <sz val="10.5"/>
        <rFont val="Tahoma"/>
        <family val="2"/>
      </rPr>
      <t xml:space="preserve">      </t>
    </r>
    <r>
      <rPr>
        <sz val="10.5"/>
        <rFont val="宋体"/>
        <family val="3"/>
        <charset val="134"/>
      </rPr>
      <t>机细分精度</t>
    </r>
    <r>
      <rPr>
        <sz val="10.5"/>
        <rFont val="Tahoma"/>
        <family val="2"/>
      </rPr>
      <t>(</t>
    </r>
    <r>
      <rPr>
        <sz val="10.5"/>
        <rFont val="宋体"/>
        <family val="3"/>
        <charset val="134"/>
      </rPr>
      <t>伺服电机不做</t>
    </r>
    <r>
      <rPr>
        <sz val="10.5"/>
        <rFont val="Tahoma"/>
        <family val="2"/>
      </rPr>
      <t>)</t>
    </r>
    <phoneticPr fontId="4" type="noConversion"/>
  </si>
  <si>
    <r>
      <t>4</t>
    </r>
    <r>
      <rPr>
        <sz val="11"/>
        <color theme="1"/>
        <rFont val="宋体"/>
        <family val="3"/>
        <charset val="134"/>
      </rPr>
      <t>，根据转动惯</t>
    </r>
    <r>
      <rPr>
        <sz val="11"/>
        <color theme="1"/>
        <rFont val="Tahoma"/>
        <family val="2"/>
      </rPr>
      <t xml:space="preserve"> 
     </t>
    </r>
    <r>
      <rPr>
        <sz val="11"/>
        <color theme="1"/>
        <rFont val="宋体"/>
        <family val="3"/>
        <charset val="134"/>
      </rPr>
      <t>量初选电机</t>
    </r>
    <phoneticPr fontId="4" type="noConversion"/>
  </si>
  <si>
    <r>
      <t>2</t>
    </r>
    <r>
      <rPr>
        <sz val="10.5"/>
        <rFont val="宋体"/>
        <family val="3"/>
        <charset val="134"/>
      </rPr>
      <t xml:space="preserve">，确定步进电
</t>
    </r>
    <r>
      <rPr>
        <sz val="10.5"/>
        <rFont val="Tahoma"/>
        <family val="2"/>
      </rPr>
      <t xml:space="preserve">      </t>
    </r>
    <r>
      <rPr>
        <sz val="10.5"/>
        <rFont val="宋体"/>
        <family val="3"/>
        <charset val="134"/>
      </rPr>
      <t>机细分精度</t>
    </r>
    <r>
      <rPr>
        <sz val="10.5"/>
        <rFont val="Tahoma"/>
        <family val="2"/>
      </rPr>
      <t>(</t>
    </r>
    <r>
      <rPr>
        <sz val="10.5"/>
        <rFont val="宋体"/>
        <family val="3"/>
        <charset val="134"/>
      </rPr>
      <t>伺服电机不做</t>
    </r>
    <r>
      <rPr>
        <sz val="10.5"/>
        <rFont val="Tahoma"/>
        <family val="2"/>
      </rPr>
      <t>)</t>
    </r>
    <phoneticPr fontId="4" type="noConversion"/>
  </si>
  <si>
    <t>一般为往复</t>
    <phoneticPr fontId="4" type="noConversion"/>
  </si>
  <si>
    <r>
      <rPr>
        <sz val="11"/>
        <color theme="1"/>
        <rFont val="宋体"/>
        <family val="3"/>
        <charset val="134"/>
      </rPr>
      <t>负载折算到主动轮惯量</t>
    </r>
    <r>
      <rPr>
        <sz val="11"/>
        <color theme="1"/>
        <rFont val="Tahoma"/>
        <family val="2"/>
      </rPr>
      <t>J3(kg.cm²)</t>
    </r>
    <phoneticPr fontId="4" type="noConversion"/>
  </si>
  <si>
    <r>
      <rPr>
        <sz val="11"/>
        <color theme="1"/>
        <rFont val="宋体"/>
        <family val="3"/>
        <charset val="134"/>
      </rPr>
      <t>主动轮惯量</t>
    </r>
    <r>
      <rPr>
        <sz val="11"/>
        <color theme="1"/>
        <rFont val="Tahoma"/>
        <family val="2"/>
      </rPr>
      <t>J1(kg.cm²)</t>
    </r>
    <phoneticPr fontId="4" type="noConversion"/>
  </si>
  <si>
    <r>
      <rPr>
        <sz val="11"/>
        <color theme="1"/>
        <rFont val="宋体"/>
        <family val="3"/>
        <charset val="134"/>
      </rPr>
      <t>从动轮惯量</t>
    </r>
    <r>
      <rPr>
        <sz val="11"/>
        <color theme="1"/>
        <rFont val="Tahoma"/>
        <family val="2"/>
      </rPr>
      <t>J20(kg.cm²)</t>
    </r>
    <phoneticPr fontId="4" type="noConversion"/>
  </si>
  <si>
    <r>
      <rPr>
        <sz val="11"/>
        <color theme="1"/>
        <rFont val="宋体"/>
        <family val="3"/>
        <charset val="134"/>
      </rPr>
      <t>从动轮轮折算到主动轮惯量</t>
    </r>
    <r>
      <rPr>
        <sz val="11"/>
        <color theme="1"/>
        <rFont val="Tahoma"/>
        <family val="2"/>
      </rPr>
      <t>J2(kg.cm</t>
    </r>
    <r>
      <rPr>
        <sz val="11"/>
        <color theme="1"/>
        <rFont val="宋体"/>
        <family val="3"/>
        <charset val="134"/>
      </rPr>
      <t>²</t>
    </r>
    <r>
      <rPr>
        <sz val="11"/>
        <color theme="1"/>
        <rFont val="Tahoma"/>
        <family val="2"/>
      </rPr>
      <t>)</t>
    </r>
    <phoneticPr fontId="4" type="noConversion"/>
  </si>
  <si>
    <t>电机轴联轴器/小齿轮惯量J0(kg.cm²)</t>
  </si>
  <si>
    <t>电机轴联轴器/小齿轮惯量J'(kg.cm²)</t>
  </si>
  <si>
    <r>
      <t>4</t>
    </r>
    <r>
      <rPr>
        <sz val="11"/>
        <color theme="1"/>
        <rFont val="宋体"/>
        <family val="3"/>
        <charset val="134"/>
      </rPr>
      <t xml:space="preserve">，确定电机所
</t>
    </r>
    <r>
      <rPr>
        <sz val="11"/>
        <color theme="1"/>
        <rFont val="Tahoma"/>
        <family val="2"/>
      </rPr>
      <t xml:space="preserve">     </t>
    </r>
    <r>
      <rPr>
        <sz val="11"/>
        <color theme="1"/>
        <rFont val="宋体"/>
        <family val="3"/>
        <charset val="134"/>
      </rPr>
      <t>需转矩</t>
    </r>
    <phoneticPr fontId="4" type="noConversion"/>
  </si>
  <si>
    <r>
      <t>4</t>
    </r>
    <r>
      <rPr>
        <sz val="11"/>
        <color theme="1"/>
        <rFont val="宋体"/>
        <family val="3"/>
        <charset val="134"/>
      </rPr>
      <t xml:space="preserve">，确定电机所
</t>
    </r>
    <r>
      <rPr>
        <sz val="11"/>
        <color theme="1"/>
        <rFont val="Tahoma"/>
        <family val="2"/>
      </rPr>
      <t xml:space="preserve">     </t>
    </r>
    <r>
      <rPr>
        <sz val="11"/>
        <color theme="1"/>
        <rFont val="宋体"/>
        <family val="3"/>
        <charset val="134"/>
      </rPr>
      <t>需转矩</t>
    </r>
    <phoneticPr fontId="4" type="noConversion"/>
  </si>
  <si>
    <r>
      <rPr>
        <sz val="11"/>
        <color theme="1"/>
        <rFont val="宋体"/>
        <family val="3"/>
        <charset val="134"/>
      </rPr>
      <t>备注</t>
    </r>
    <phoneticPr fontId="4" type="noConversion"/>
  </si>
  <si>
    <r>
      <rPr>
        <sz val="11"/>
        <color theme="1"/>
        <rFont val="宋体"/>
        <family val="3"/>
        <charset val="134"/>
      </rPr>
      <t>绕轴旋转的质点</t>
    </r>
    <phoneticPr fontId="4" type="noConversion"/>
  </si>
  <si>
    <r>
      <rPr>
        <sz val="11"/>
        <color theme="1"/>
        <rFont val="宋体"/>
        <family val="3"/>
        <charset val="134"/>
      </rPr>
      <t>用于物体尺寸相对于旋转中心很小的情况</t>
    </r>
    <phoneticPr fontId="4" type="noConversion"/>
  </si>
  <si>
    <r>
      <rPr>
        <sz val="11"/>
        <color theme="1"/>
        <rFont val="宋体"/>
        <family val="3"/>
        <charset val="134"/>
      </rPr>
      <t>与长度无关</t>
    </r>
    <phoneticPr fontId="4" type="noConversion"/>
  </si>
  <si>
    <r>
      <rPr>
        <sz val="11"/>
        <color theme="1"/>
        <rFont val="宋体"/>
        <family val="3"/>
        <charset val="134"/>
      </rPr>
      <t>空心圆柱
转轴为圆柱轴线</t>
    </r>
    <phoneticPr fontId="4" type="noConversion"/>
  </si>
  <si>
    <r>
      <rPr>
        <sz val="11"/>
        <color theme="1"/>
        <rFont val="宋体"/>
        <family val="3"/>
        <charset val="134"/>
      </rPr>
      <t>薄皮圆柱
转轴为圆柱轴线</t>
    </r>
    <phoneticPr fontId="4" type="noConversion"/>
  </si>
  <si>
    <r>
      <rPr>
        <sz val="11"/>
        <color theme="1"/>
        <rFont val="宋体"/>
        <family val="3"/>
        <charset val="134"/>
      </rPr>
      <t>球体
转轴通过球心</t>
    </r>
    <phoneticPr fontId="4" type="noConversion"/>
  </si>
  <si>
    <r>
      <rPr>
        <sz val="11"/>
        <color theme="1"/>
        <rFont val="宋体"/>
        <family val="3"/>
        <charset val="134"/>
      </rPr>
      <t>薄皮球体
转轴通过球心</t>
    </r>
    <phoneticPr fontId="4" type="noConversion"/>
  </si>
  <si>
    <r>
      <rPr>
        <sz val="11"/>
        <color theme="1"/>
        <rFont val="宋体"/>
        <family val="3"/>
        <charset val="134"/>
      </rPr>
      <t>细长杆
转轴通过杆中心与杆垂直</t>
    </r>
    <phoneticPr fontId="4" type="noConversion"/>
  </si>
  <si>
    <r>
      <rPr>
        <sz val="11"/>
        <color theme="1"/>
        <rFont val="宋体"/>
        <family val="3"/>
        <charset val="134"/>
      </rPr>
      <t>细长杆
转轴通过杆端中心与杆垂直</t>
    </r>
    <phoneticPr fontId="4" type="noConversion"/>
  </si>
  <si>
    <r>
      <rPr>
        <sz val="11"/>
        <color theme="1"/>
        <rFont val="宋体"/>
        <family val="3"/>
        <charset val="134"/>
      </rPr>
      <t>端面尺寸不可忽略</t>
    </r>
    <phoneticPr fontId="4" type="noConversion"/>
  </si>
  <si>
    <r>
      <rPr>
        <sz val="11"/>
        <color theme="1"/>
        <rFont val="宋体"/>
        <family val="3"/>
        <charset val="134"/>
      </rPr>
      <t>薄皮圆柱
转轴通过圆柱中心与其垂直</t>
    </r>
    <phoneticPr fontId="4" type="noConversion"/>
  </si>
  <si>
    <r>
      <rPr>
        <sz val="11"/>
        <color theme="1"/>
        <rFont val="宋体"/>
        <family val="3"/>
        <charset val="134"/>
      </rPr>
      <t>长方体</t>
    </r>
    <r>
      <rPr>
        <sz val="11"/>
        <color theme="1"/>
        <rFont val="Tahoma"/>
        <family val="2"/>
      </rPr>
      <t xml:space="preserve"> 
</t>
    </r>
    <r>
      <rPr>
        <sz val="11"/>
        <color theme="1"/>
        <rFont val="宋体"/>
        <family val="3"/>
        <charset val="134"/>
      </rPr>
      <t>转轴在通过体中心</t>
    </r>
    <phoneticPr fontId="4" type="noConversion"/>
  </si>
  <si>
    <t>圆柱体
转轴通过圆柱中心与其垂直</t>
    <phoneticPr fontId="4" type="noConversion"/>
  </si>
  <si>
    <t xml:space="preserve">  图示  </t>
    <phoneticPr fontId="4" type="noConversion"/>
  </si>
  <si>
    <t>常见运动机构转动惯量</t>
    <phoneticPr fontId="4" type="noConversion"/>
  </si>
  <si>
    <t>传动类型</t>
    <phoneticPr fontId="4" type="noConversion"/>
  </si>
  <si>
    <t>任何形式的减速机</t>
    <phoneticPr fontId="4" type="noConversion"/>
  </si>
  <si>
    <r>
      <t xml:space="preserve">          </t>
    </r>
    <r>
      <rPr>
        <sz val="11"/>
        <color theme="1"/>
        <rFont val="宋体"/>
        <family val="3"/>
        <charset val="134"/>
      </rPr>
      <t>表示负载端惯量转换到主动轮端</t>
    </r>
    <r>
      <rPr>
        <sz val="11"/>
        <color theme="1"/>
        <rFont val="Tahoma"/>
        <family val="2"/>
      </rPr>
      <t xml:space="preserve">     </t>
    </r>
    <phoneticPr fontId="4" type="noConversion"/>
  </si>
  <si>
    <t xml:space="preserve">         </t>
    <phoneticPr fontId="4" type="noConversion"/>
  </si>
  <si>
    <t>滚珠丝杆传动</t>
    <phoneticPr fontId="4" type="noConversion"/>
  </si>
  <si>
    <r>
      <rPr>
        <sz val="11"/>
        <color theme="1"/>
        <rFont val="宋体"/>
        <family val="3"/>
        <charset val="134"/>
      </rPr>
      <t>转轴偏心距</t>
    </r>
    <r>
      <rPr>
        <sz val="11"/>
        <color theme="1"/>
        <rFont val="Tahoma"/>
        <family val="2"/>
      </rPr>
      <t>e</t>
    </r>
    <phoneticPr fontId="4" type="noConversion"/>
  </si>
  <si>
    <r>
      <rPr>
        <sz val="11"/>
        <color theme="1"/>
        <rFont val="宋体"/>
        <family val="3"/>
        <charset val="134"/>
      </rPr>
      <t>圆柱</t>
    </r>
    <r>
      <rPr>
        <sz val="11"/>
        <color theme="1"/>
        <rFont val="Tahoma"/>
        <family val="2"/>
      </rPr>
      <t>/</t>
    </r>
    <r>
      <rPr>
        <sz val="11"/>
        <color theme="1"/>
        <rFont val="宋体"/>
        <family val="3"/>
        <charset val="134"/>
      </rPr>
      <t>薄圆盘
转轴为圆柱</t>
    </r>
    <r>
      <rPr>
        <sz val="11"/>
        <color theme="1"/>
        <rFont val="Tahoma"/>
        <family val="2"/>
      </rPr>
      <t>/</t>
    </r>
    <r>
      <rPr>
        <sz val="11"/>
        <color theme="1"/>
        <rFont val="宋体"/>
        <family val="3"/>
        <charset val="134"/>
      </rPr>
      <t>圆盘轴线</t>
    </r>
    <phoneticPr fontId="4" type="noConversion"/>
  </si>
  <si>
    <r>
      <rPr>
        <b/>
        <sz val="16"/>
        <color rgb="FFFF0000"/>
        <rFont val="宋体"/>
        <family val="3"/>
        <charset val="134"/>
      </rPr>
      <t>以上刚体转轴
偏移距离</t>
    </r>
    <r>
      <rPr>
        <b/>
        <sz val="16"/>
        <color rgb="FFFF0000"/>
        <rFont val="Tahoma"/>
        <family val="2"/>
      </rPr>
      <t>e</t>
    </r>
    <r>
      <rPr>
        <b/>
        <sz val="16"/>
        <color rgb="FFFF0000"/>
        <rFont val="宋体"/>
        <family val="3"/>
        <charset val="134"/>
      </rPr>
      <t>后</t>
    </r>
    <phoneticPr fontId="4" type="noConversion"/>
  </si>
  <si>
    <t>L</t>
    <phoneticPr fontId="4" type="noConversion"/>
  </si>
  <si>
    <t>端面可以使任意形状，尺寸可忽略</t>
    <phoneticPr fontId="4" type="noConversion"/>
  </si>
  <si>
    <t>m1+m2</t>
    <phoneticPr fontId="4" type="noConversion"/>
  </si>
  <si>
    <r>
      <t xml:space="preserve">mr²/η1 </t>
    </r>
    <r>
      <rPr>
        <sz val="11"/>
        <color theme="0" tint="-0.499984740745262"/>
        <rFont val="宋体"/>
        <family val="3"/>
        <charset val="134"/>
      </rPr>
      <t>其中</t>
    </r>
    <r>
      <rPr>
        <sz val="11"/>
        <color theme="0" tint="-0.499984740745262"/>
        <rFont val="Tahoma"/>
        <family val="2"/>
      </rPr>
      <t>r=d1/2</t>
    </r>
    <phoneticPr fontId="4" type="noConversion"/>
  </si>
  <si>
    <r>
      <rPr>
        <sz val="11"/>
        <color theme="1"/>
        <rFont val="宋体"/>
        <family val="3"/>
        <charset val="134"/>
      </rPr>
      <t>负载与皮带总重量</t>
    </r>
    <r>
      <rPr>
        <sz val="11"/>
        <color theme="1"/>
        <rFont val="Tahoma"/>
        <family val="2"/>
      </rPr>
      <t>m(kg)</t>
    </r>
    <phoneticPr fontId="4" type="noConversion"/>
  </si>
  <si>
    <t>m*(Bp/2PI)²/η1</t>
    <phoneticPr fontId="4" type="noConversion"/>
  </si>
  <si>
    <r>
      <rPr>
        <sz val="11"/>
        <color theme="1"/>
        <rFont val="宋体"/>
        <family val="3"/>
        <charset val="134"/>
      </rPr>
      <t>负载</t>
    </r>
    <r>
      <rPr>
        <sz val="11"/>
        <color theme="1"/>
        <rFont val="Tahoma"/>
        <family val="2"/>
      </rPr>
      <t>(</t>
    </r>
    <r>
      <rPr>
        <sz val="11"/>
        <color theme="1"/>
        <rFont val="宋体"/>
        <family val="3"/>
        <charset val="134"/>
      </rPr>
      <t>含平台</t>
    </r>
    <r>
      <rPr>
        <sz val="11"/>
        <color theme="1"/>
        <rFont val="Tahoma"/>
        <family val="2"/>
      </rPr>
      <t>)</t>
    </r>
    <r>
      <rPr>
        <sz val="11"/>
        <color theme="1"/>
        <rFont val="宋体"/>
        <family val="3"/>
        <charset val="134"/>
      </rPr>
      <t>折算到丝杆惯量</t>
    </r>
    <r>
      <rPr>
        <sz val="11"/>
        <color theme="1"/>
        <rFont val="Tahoma"/>
        <family val="2"/>
      </rPr>
      <t>J</t>
    </r>
    <r>
      <rPr>
        <vertAlign val="subscript"/>
        <sz val="14"/>
        <color theme="1"/>
        <rFont val="Tahoma"/>
        <family val="2"/>
      </rPr>
      <t>L</t>
    </r>
    <r>
      <rPr>
        <sz val="11"/>
        <color theme="1"/>
        <rFont val="Tahoma"/>
        <family val="2"/>
      </rPr>
      <t>(kg.cm²)</t>
    </r>
    <phoneticPr fontId="4" type="noConversion"/>
  </si>
  <si>
    <t>J1=JL+JB+JC</t>
    <phoneticPr fontId="4" type="noConversion"/>
  </si>
  <si>
    <r>
      <rPr>
        <sz val="11"/>
        <color theme="1"/>
        <rFont val="宋体"/>
        <family val="3"/>
        <charset val="134"/>
      </rPr>
      <t>总负载转动惯量</t>
    </r>
    <r>
      <rPr>
        <sz val="11"/>
        <color theme="1"/>
        <rFont val="Tahoma"/>
        <family val="2"/>
      </rPr>
      <t>J'(kg.cm²)</t>
    </r>
    <phoneticPr fontId="4" type="noConversion"/>
  </si>
  <si>
    <t>J"=J'/(i²*η)+J0</t>
    <phoneticPr fontId="4" type="noConversion"/>
  </si>
  <si>
    <r>
      <rPr>
        <sz val="11"/>
        <color theme="1"/>
        <rFont val="宋体"/>
        <family val="3"/>
        <charset val="134"/>
      </rPr>
      <t>电机轴联轴器</t>
    </r>
    <r>
      <rPr>
        <sz val="11"/>
        <color theme="1"/>
        <rFont val="Tahoma"/>
        <family val="2"/>
      </rPr>
      <t>/</t>
    </r>
    <r>
      <rPr>
        <sz val="11"/>
        <color theme="1"/>
        <rFont val="宋体"/>
        <family val="3"/>
        <charset val="134"/>
      </rPr>
      <t>小齿轮惯量</t>
    </r>
    <r>
      <rPr>
        <sz val="11"/>
        <color theme="1"/>
        <rFont val="Tahoma"/>
        <family val="2"/>
      </rPr>
      <t>J0(kg.cm²)</t>
    </r>
    <phoneticPr fontId="4" type="noConversion"/>
  </si>
  <si>
    <t>也可忽略不计填0,无减速机时填0</t>
    <phoneticPr fontId="4" type="noConversion"/>
  </si>
  <si>
    <t>可忽略不计填0,无减速机时填0</t>
    <phoneticPr fontId="4" type="noConversion"/>
  </si>
  <si>
    <r>
      <t>直线平台往复运动电（带传动、链传动、齿轮齿条传动)</t>
    </r>
    <r>
      <rPr>
        <b/>
        <sz val="11"/>
        <rFont val="宋体"/>
        <family val="3"/>
        <charset val="134"/>
      </rPr>
      <t>--常用步进电机</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</si>
  <si>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，最大允许惯量：伺服比步进大，因为伺服电机允许过载，进口比国产大国产，在厂家样本可查，或者按国产</t>
    </r>
    <r>
      <rPr>
        <sz val="11"/>
        <color theme="1"/>
        <rFont val="Tahoma"/>
        <family val="2"/>
      </rPr>
      <t>(</t>
    </r>
    <r>
      <rPr>
        <sz val="11"/>
        <color theme="1"/>
        <rFont val="宋体"/>
        <family val="3"/>
        <charset val="134"/>
      </rPr>
      <t>含台湾</t>
    </r>
    <r>
      <rPr>
        <sz val="11"/>
        <color theme="1"/>
        <rFont val="Tahoma"/>
        <family val="2"/>
      </rPr>
      <t>)</t>
    </r>
    <r>
      <rPr>
        <sz val="11"/>
        <color theme="1"/>
        <rFont val="宋体"/>
        <family val="3"/>
        <charset val="134"/>
      </rPr>
      <t>取</t>
    </r>
    <r>
      <rPr>
        <sz val="11"/>
        <color theme="1"/>
        <rFont val="Tahoma"/>
        <family val="2"/>
      </rPr>
      <t>5</t>
    </r>
    <r>
      <rPr>
        <sz val="11"/>
        <color theme="1"/>
        <rFont val="宋体"/>
        <family val="3"/>
        <charset val="134"/>
      </rPr>
      <t>，进口取</t>
    </r>
    <r>
      <rPr>
        <sz val="11"/>
        <color theme="1"/>
        <rFont val="Tahoma"/>
        <family val="2"/>
      </rPr>
      <t>10</t>
    </r>
    <r>
      <rPr>
        <sz val="11"/>
        <color theme="1"/>
        <rFont val="宋体"/>
        <family val="3"/>
        <charset val="134"/>
      </rPr>
      <t>。</t>
    </r>
    <r>
      <rPr>
        <sz val="11"/>
        <color theme="1"/>
        <rFont val="Tahoma"/>
        <family val="2"/>
      </rPr>
      <t xml:space="preserve">
    2</t>
    </r>
    <r>
      <rPr>
        <sz val="11"/>
        <color theme="1"/>
        <rFont val="宋体"/>
        <family val="3"/>
        <charset val="134"/>
      </rPr>
      <t>，注意步进电机应用于低速场合</t>
    </r>
    <r>
      <rPr>
        <sz val="11"/>
        <color theme="1"/>
        <rFont val="Tahoma"/>
        <family val="2"/>
      </rPr>
      <t>--</t>
    </r>
    <r>
      <rPr>
        <sz val="11"/>
        <color theme="1"/>
        <rFont val="宋体"/>
        <family val="3"/>
        <charset val="134"/>
      </rPr>
      <t>每分钟转速不超过</t>
    </r>
    <r>
      <rPr>
        <sz val="11"/>
        <color theme="1"/>
        <rFont val="Tahoma"/>
        <family val="2"/>
      </rPr>
      <t>1000r/min</t>
    </r>
    <r>
      <rPr>
        <sz val="11"/>
        <color theme="1"/>
        <rFont val="宋体"/>
        <family val="3"/>
        <charset val="134"/>
      </rPr>
      <t>（闭环步进可达</t>
    </r>
    <r>
      <rPr>
        <sz val="11"/>
        <color theme="1"/>
        <rFont val="Tahoma"/>
        <family val="2"/>
      </rPr>
      <t>1500</t>
    </r>
    <r>
      <rPr>
        <sz val="11"/>
        <color theme="1"/>
        <rFont val="宋体"/>
        <family val="3"/>
        <charset val="134"/>
      </rPr>
      <t>）。伺服电机比步进电机贵出很多，所以步进电机应用更广泛，特别是在定位精度要求不是很高的同步带</t>
    </r>
    <r>
      <rPr>
        <sz val="11"/>
        <color theme="1"/>
        <rFont val="Tahoma"/>
        <family val="2"/>
      </rPr>
      <t>/</t>
    </r>
    <r>
      <rPr>
        <sz val="11"/>
        <color theme="1"/>
        <rFont val="宋体"/>
        <family val="3"/>
        <charset val="134"/>
      </rPr>
      <t>链条传动、平带输送机等场合经常使用步进电机，在定位要求高的丝杆中常采用伺服电机。</t>
    </r>
    <r>
      <rPr>
        <sz val="11"/>
        <color theme="1"/>
        <rFont val="Tahoma"/>
        <family val="2"/>
      </rPr>
      <t xml:space="preserve">
    3</t>
    </r>
    <r>
      <rPr>
        <sz val="11"/>
        <color theme="1"/>
        <rFont val="宋体"/>
        <family val="3"/>
        <charset val="134"/>
      </rPr>
      <t>，步进电机与伺服电机的</t>
    </r>
    <r>
      <rPr>
        <sz val="11"/>
        <color theme="1"/>
        <rFont val="Tahoma"/>
        <family val="2"/>
      </rPr>
      <t>7</t>
    </r>
    <r>
      <rPr>
        <sz val="11"/>
        <color theme="1"/>
        <rFont val="宋体"/>
        <family val="3"/>
        <charset val="134"/>
      </rPr>
      <t xml:space="preserve">不同：
</t>
    </r>
    <r>
      <rPr>
        <sz val="11"/>
        <color theme="1"/>
        <rFont val="Tahoma"/>
        <family val="2"/>
      </rPr>
      <t>A</t>
    </r>
    <r>
      <rPr>
        <sz val="11"/>
        <color theme="1"/>
        <rFont val="宋体"/>
        <family val="3"/>
        <charset val="134"/>
      </rPr>
      <t xml:space="preserve">控制精度——伺服电机控制精度可以根据编码器设置，精度更高；
</t>
    </r>
    <r>
      <rPr>
        <sz val="11"/>
        <color theme="1"/>
        <rFont val="Tahoma"/>
        <family val="2"/>
      </rPr>
      <t>B</t>
    </r>
    <r>
      <rPr>
        <sz val="11"/>
        <color theme="1"/>
        <rFont val="宋体"/>
        <family val="3"/>
        <charset val="134"/>
      </rPr>
      <t xml:space="preserve">低频特性——步进电机低频容易振动，伺服电机不会；
</t>
    </r>
    <r>
      <rPr>
        <sz val="11"/>
        <color theme="1"/>
        <rFont val="Tahoma"/>
        <family val="2"/>
      </rPr>
      <t>C</t>
    </r>
    <r>
      <rPr>
        <sz val="11"/>
        <color theme="1"/>
        <rFont val="宋体"/>
        <family val="3"/>
        <charset val="134"/>
      </rPr>
      <t>矩频特性——步进电机随转速提高力矩变小，所以其最高工作转速一般在</t>
    </r>
    <r>
      <rPr>
        <sz val="11"/>
        <color theme="1"/>
        <rFont val="Tahoma"/>
        <family val="2"/>
      </rPr>
      <t xml:space="preserve"> </t>
    </r>
    <r>
      <rPr>
        <sz val="11"/>
        <color theme="1"/>
        <rFont val="宋体"/>
        <family val="3"/>
        <charset val="134"/>
      </rPr>
      <t>＜</t>
    </r>
    <r>
      <rPr>
        <sz val="11"/>
        <color theme="1"/>
        <rFont val="Tahoma"/>
        <family val="2"/>
      </rPr>
      <t>1000r/min</t>
    </r>
    <r>
      <rPr>
        <sz val="11"/>
        <color theme="1"/>
        <rFont val="宋体"/>
        <family val="3"/>
        <charset val="134"/>
      </rPr>
      <t>，伺服电机在额定转速内</t>
    </r>
    <r>
      <rPr>
        <sz val="11"/>
        <color theme="1"/>
        <rFont val="Tahoma"/>
        <family val="2"/>
      </rPr>
      <t>(</t>
    </r>
    <r>
      <rPr>
        <sz val="11"/>
        <color theme="1"/>
        <rFont val="宋体"/>
        <family val="3"/>
        <charset val="134"/>
      </rPr>
      <t>一般</t>
    </r>
    <r>
      <rPr>
        <sz val="11"/>
        <color theme="1"/>
        <rFont val="Tahoma"/>
        <family val="2"/>
      </rPr>
      <t>3000r/min)</t>
    </r>
    <r>
      <rPr>
        <sz val="11"/>
        <color theme="1"/>
        <rFont val="宋体"/>
        <family val="3"/>
        <charset val="134"/>
      </rPr>
      <t>内都能输出额定力矩，在额定转速以上为恒功率输出，最高转速可达</t>
    </r>
    <r>
      <rPr>
        <sz val="11"/>
        <color theme="1"/>
        <rFont val="Tahoma"/>
        <family val="2"/>
      </rPr>
      <t>5000 r/min</t>
    </r>
    <r>
      <rPr>
        <sz val="11"/>
        <color theme="1"/>
        <rFont val="宋体"/>
        <family val="3"/>
        <charset val="134"/>
      </rPr>
      <t xml:space="preserve">；；
</t>
    </r>
    <r>
      <rPr>
        <sz val="11"/>
        <color theme="1"/>
        <rFont val="Tahoma"/>
        <family val="2"/>
      </rPr>
      <t>D</t>
    </r>
    <r>
      <rPr>
        <sz val="11"/>
        <color theme="1"/>
        <rFont val="宋体"/>
        <family val="3"/>
        <charset val="134"/>
      </rPr>
      <t>过载能力——步进电机不能过载，伺服电机最大力矩可过载</t>
    </r>
    <r>
      <rPr>
        <sz val="11"/>
        <color theme="1"/>
        <rFont val="Tahoma"/>
        <family val="2"/>
      </rPr>
      <t>3</t>
    </r>
    <r>
      <rPr>
        <sz val="11"/>
        <color theme="1"/>
        <rFont val="宋体"/>
        <family val="3"/>
        <charset val="134"/>
      </rPr>
      <t xml:space="preserve">倍；
</t>
    </r>
    <r>
      <rPr>
        <sz val="11"/>
        <color theme="1"/>
        <rFont val="Tahoma"/>
        <family val="2"/>
      </rPr>
      <t>E</t>
    </r>
    <r>
      <rPr>
        <sz val="11"/>
        <color theme="1"/>
        <rFont val="宋体"/>
        <family val="3"/>
        <charset val="134"/>
      </rPr>
      <t xml:space="preserve">运行性能——步进电机为开环控制，伺服电机时闭环控制；
</t>
    </r>
    <r>
      <rPr>
        <sz val="11"/>
        <color theme="1"/>
        <rFont val="Tahoma"/>
        <family val="2"/>
      </rPr>
      <t>F</t>
    </r>
    <r>
      <rPr>
        <sz val="11"/>
        <color theme="1"/>
        <rFont val="宋体"/>
        <family val="3"/>
        <charset val="134"/>
      </rPr>
      <t>速度响应——步进电机启动时间</t>
    </r>
    <r>
      <rPr>
        <sz val="11"/>
        <color rgb="FFFF0000"/>
        <rFont val="Tahoma"/>
        <family val="2"/>
      </rPr>
      <t>0.1~1s</t>
    </r>
    <r>
      <rPr>
        <sz val="11"/>
        <color theme="1"/>
        <rFont val="宋体"/>
        <family val="3"/>
        <charset val="134"/>
      </rPr>
      <t>，伺服电机</t>
    </r>
    <r>
      <rPr>
        <sz val="11"/>
        <color rgb="FFFF0000"/>
        <rFont val="Tahoma"/>
        <family val="2"/>
      </rPr>
      <t>0.05~0.5</t>
    </r>
    <r>
      <rPr>
        <sz val="11"/>
        <color theme="1"/>
        <rFont val="宋体"/>
        <family val="3"/>
        <charset val="134"/>
      </rPr>
      <t xml:space="preserve">（雷赛推荐参数）；
</t>
    </r>
    <r>
      <rPr>
        <sz val="11"/>
        <color theme="1"/>
        <rFont val="Tahoma"/>
        <family val="2"/>
      </rPr>
      <t>G</t>
    </r>
    <r>
      <rPr>
        <sz val="11"/>
        <color theme="1"/>
        <rFont val="宋体"/>
        <family val="3"/>
        <charset val="134"/>
      </rPr>
      <t>效率指标——步进电机效率约</t>
    </r>
    <r>
      <rPr>
        <sz val="11"/>
        <color theme="1"/>
        <rFont val="Tahoma"/>
        <family val="2"/>
      </rPr>
      <t>60%</t>
    </r>
    <r>
      <rPr>
        <sz val="11"/>
        <color theme="1"/>
        <rFont val="宋体"/>
        <family val="3"/>
        <charset val="134"/>
      </rPr>
      <t>，伺服电机约</t>
    </r>
    <r>
      <rPr>
        <sz val="11"/>
        <color theme="1"/>
        <rFont val="Tahoma"/>
        <family val="2"/>
      </rPr>
      <t>80%</t>
    </r>
    <r>
      <rPr>
        <sz val="11"/>
        <color theme="1"/>
        <rFont val="宋体"/>
        <family val="3"/>
        <charset val="134"/>
      </rPr>
      <t xml:space="preserve">；
</t>
    </r>
    <r>
      <rPr>
        <sz val="11"/>
        <color theme="1"/>
        <rFont val="Tahoma"/>
        <family val="2"/>
      </rPr>
      <t xml:space="preserve">     </t>
    </r>
    <r>
      <rPr>
        <sz val="11"/>
        <color theme="1"/>
        <rFont val="宋体"/>
        <family val="3"/>
        <charset val="134"/>
      </rPr>
      <t>实际使用中会发现：伺服电机贵，贵出很多，所以同步电机应用更广泛，特别是在定位精度要求不是很高的</t>
    </r>
    <r>
      <rPr>
        <sz val="11"/>
        <color rgb="FFFF0000"/>
        <rFont val="宋体"/>
        <family val="3"/>
        <charset val="134"/>
      </rPr>
      <t>同步带传动、平带输送机等场合经常使用步进电机。</t>
    </r>
    <r>
      <rPr>
        <sz val="11"/>
        <color theme="1"/>
        <rFont val="宋体"/>
        <family val="3"/>
        <charset val="134"/>
      </rPr>
      <t xml:space="preserve">
</t>
    </r>
    <r>
      <rPr>
        <sz val="11"/>
        <color theme="1"/>
        <rFont val="Tahoma"/>
        <family val="2"/>
      </rPr>
      <t xml:space="preserve">    4</t>
    </r>
    <r>
      <rPr>
        <sz val="11"/>
        <color theme="1"/>
        <rFont val="宋体"/>
        <family val="3"/>
        <charset val="134"/>
      </rPr>
      <t>，步进电机分类：永磁式、反应式、混合式，前两种基本淘汰，混合式有</t>
    </r>
    <r>
      <rPr>
        <sz val="11"/>
        <color theme="1"/>
        <rFont val="Tahoma"/>
        <family val="2"/>
      </rPr>
      <t>2</t>
    </r>
    <r>
      <rPr>
        <sz val="11"/>
        <color theme="1"/>
        <rFont val="宋体"/>
        <family val="3"/>
        <charset val="134"/>
      </rPr>
      <t>相</t>
    </r>
    <r>
      <rPr>
        <sz val="11"/>
        <color theme="1"/>
        <rFont val="Tahoma"/>
        <family val="2"/>
      </rPr>
      <t>(</t>
    </r>
    <r>
      <rPr>
        <sz val="11"/>
        <color theme="1"/>
        <rFont val="宋体"/>
        <family val="3"/>
        <charset val="134"/>
      </rPr>
      <t>步距角</t>
    </r>
    <r>
      <rPr>
        <sz val="11"/>
        <color theme="1"/>
        <rFont val="Tahoma"/>
        <family val="2"/>
      </rPr>
      <t>1.8°)</t>
    </r>
    <r>
      <rPr>
        <sz val="11"/>
        <color theme="1"/>
        <rFont val="宋体"/>
        <family val="3"/>
        <charset val="134"/>
      </rPr>
      <t>，</t>
    </r>
    <r>
      <rPr>
        <sz val="11"/>
        <color theme="1"/>
        <rFont val="Tahoma"/>
        <family val="2"/>
      </rPr>
      <t>3</t>
    </r>
    <r>
      <rPr>
        <sz val="11"/>
        <color theme="1"/>
        <rFont val="宋体"/>
        <family val="3"/>
        <charset val="134"/>
      </rPr>
      <t>相</t>
    </r>
    <r>
      <rPr>
        <sz val="11"/>
        <color theme="1"/>
        <rFont val="Tahoma"/>
        <family val="2"/>
      </rPr>
      <t>(</t>
    </r>
    <r>
      <rPr>
        <sz val="11"/>
        <color theme="1"/>
        <rFont val="宋体"/>
        <family val="3"/>
        <charset val="134"/>
      </rPr>
      <t>步距角</t>
    </r>
    <r>
      <rPr>
        <sz val="11"/>
        <color theme="1"/>
        <rFont val="Tahoma"/>
        <family val="2"/>
      </rPr>
      <t>1.2</t>
    </r>
    <r>
      <rPr>
        <sz val="11"/>
        <color theme="1"/>
        <rFont val="宋体"/>
        <family val="3"/>
        <charset val="134"/>
      </rPr>
      <t>°</t>
    </r>
    <r>
      <rPr>
        <sz val="11"/>
        <color theme="1"/>
        <rFont val="Tahoma"/>
        <family val="2"/>
      </rPr>
      <t>)</t>
    </r>
    <r>
      <rPr>
        <sz val="11"/>
        <color theme="1"/>
        <rFont val="宋体"/>
        <family val="3"/>
        <charset val="134"/>
      </rPr>
      <t>，</t>
    </r>
    <r>
      <rPr>
        <sz val="11"/>
        <color theme="1"/>
        <rFont val="Tahoma"/>
        <family val="2"/>
      </rPr>
      <t>4</t>
    </r>
    <r>
      <rPr>
        <sz val="11"/>
        <color theme="1"/>
        <rFont val="宋体"/>
        <family val="3"/>
        <charset val="134"/>
      </rPr>
      <t>相</t>
    </r>
    <r>
      <rPr>
        <sz val="11"/>
        <color theme="1"/>
        <rFont val="Tahoma"/>
        <family val="2"/>
      </rPr>
      <t>(</t>
    </r>
    <r>
      <rPr>
        <sz val="11"/>
        <color theme="1"/>
        <rFont val="宋体"/>
        <family val="3"/>
        <charset val="134"/>
      </rPr>
      <t>步距角</t>
    </r>
    <r>
      <rPr>
        <sz val="11"/>
        <color theme="1"/>
        <rFont val="Tahoma"/>
        <family val="2"/>
      </rPr>
      <t>0.9</t>
    </r>
    <r>
      <rPr>
        <sz val="11"/>
        <color theme="1"/>
        <rFont val="宋体"/>
        <family val="3"/>
        <charset val="134"/>
      </rPr>
      <t>°</t>
    </r>
    <r>
      <rPr>
        <sz val="11"/>
        <color theme="1"/>
        <rFont val="Tahoma"/>
        <family val="2"/>
      </rPr>
      <t>)</t>
    </r>
    <r>
      <rPr>
        <sz val="11"/>
        <color theme="1"/>
        <rFont val="宋体"/>
        <family val="3"/>
        <charset val="134"/>
      </rPr>
      <t>，</t>
    </r>
    <r>
      <rPr>
        <sz val="11"/>
        <color theme="1"/>
        <rFont val="Tahoma"/>
        <family val="2"/>
      </rPr>
      <t>5</t>
    </r>
    <r>
      <rPr>
        <sz val="11"/>
        <color theme="1"/>
        <rFont val="宋体"/>
        <family val="3"/>
        <charset val="134"/>
      </rPr>
      <t>相</t>
    </r>
    <r>
      <rPr>
        <sz val="11"/>
        <color theme="1"/>
        <rFont val="Tahoma"/>
        <family val="2"/>
      </rPr>
      <t>(</t>
    </r>
    <r>
      <rPr>
        <sz val="11"/>
        <color theme="1"/>
        <rFont val="宋体"/>
        <family val="3"/>
        <charset val="134"/>
      </rPr>
      <t>步距角</t>
    </r>
    <r>
      <rPr>
        <sz val="11"/>
        <color theme="1"/>
        <rFont val="Tahoma"/>
        <family val="2"/>
      </rPr>
      <t>0.72</t>
    </r>
    <r>
      <rPr>
        <sz val="11"/>
        <color theme="1"/>
        <rFont val="宋体"/>
        <family val="3"/>
        <charset val="134"/>
      </rPr>
      <t>°</t>
    </r>
    <r>
      <rPr>
        <sz val="11"/>
        <color theme="1"/>
        <rFont val="Tahoma"/>
        <family val="2"/>
      </rPr>
      <t xml:space="preserve">) </t>
    </r>
    <r>
      <rPr>
        <sz val="11"/>
        <color theme="1"/>
        <rFont val="宋体"/>
        <family val="3"/>
        <charset val="134"/>
      </rPr>
      <t xml:space="preserve">
</t>
    </r>
    <r>
      <rPr>
        <sz val="11"/>
        <color theme="1"/>
        <rFont val="Tahoma"/>
        <family val="2"/>
      </rPr>
      <t xml:space="preserve">    5</t>
    </r>
    <r>
      <rPr>
        <sz val="11"/>
        <color theme="1"/>
        <rFont val="宋体"/>
        <family val="3"/>
        <charset val="134"/>
      </rPr>
      <t>，细分精度注意事项，当细分等级大于</t>
    </r>
    <r>
      <rPr>
        <sz val="11"/>
        <color theme="1"/>
        <rFont val="Tahoma"/>
        <family val="2"/>
      </rPr>
      <t>4</t>
    </r>
    <r>
      <rPr>
        <sz val="11"/>
        <color theme="1"/>
        <rFont val="宋体"/>
        <family val="3"/>
        <charset val="134"/>
      </rPr>
      <t xml:space="preserve">后，步距角的精度不能保证，最好换用相数更多（即步距角更小）的步进电机
</t>
    </r>
    <r>
      <rPr>
        <sz val="11"/>
        <color theme="1"/>
        <rFont val="Tahoma"/>
        <family val="2"/>
      </rPr>
      <t xml:space="preserve">    4</t>
    </r>
    <r>
      <rPr>
        <sz val="11"/>
        <color theme="1"/>
        <rFont val="宋体"/>
        <family val="3"/>
        <charset val="134"/>
      </rPr>
      <t xml:space="preserve">，如何克服两相混合式步进电机在低速运转时的振动和噪声：
</t>
    </r>
    <r>
      <rPr>
        <sz val="11"/>
        <color theme="1"/>
        <rFont val="Tahoma"/>
        <family val="2"/>
      </rPr>
      <t>A.</t>
    </r>
    <r>
      <rPr>
        <sz val="11"/>
        <color theme="1"/>
        <rFont val="宋体"/>
        <family val="3"/>
        <charset val="134"/>
      </rPr>
      <t>如步进电机正好工作在共振区</t>
    </r>
    <r>
      <rPr>
        <sz val="11"/>
        <color theme="1"/>
        <rFont val="Tahoma"/>
        <family val="2"/>
      </rPr>
      <t>,</t>
    </r>
    <r>
      <rPr>
        <sz val="11"/>
        <color theme="1"/>
        <rFont val="宋体"/>
        <family val="3"/>
        <charset val="134"/>
      </rPr>
      <t>可通过</t>
    </r>
    <r>
      <rPr>
        <sz val="11"/>
        <color rgb="FFFF0000"/>
        <rFont val="宋体"/>
        <family val="3"/>
        <charset val="134"/>
      </rPr>
      <t>改变减速比</t>
    </r>
    <r>
      <rPr>
        <sz val="11"/>
        <color theme="1"/>
        <rFont val="宋体"/>
        <family val="3"/>
        <charset val="134"/>
      </rPr>
      <t>等机械传动避开共振区</t>
    </r>
    <r>
      <rPr>
        <sz val="11"/>
        <color theme="1"/>
        <rFont val="Tahoma"/>
        <family val="2"/>
      </rPr>
      <t>; 
B.</t>
    </r>
    <r>
      <rPr>
        <sz val="11"/>
        <color theme="1"/>
        <rFont val="宋体"/>
        <family val="3"/>
        <charset val="134"/>
      </rPr>
      <t>采用带有</t>
    </r>
    <r>
      <rPr>
        <sz val="11"/>
        <color rgb="FFFF0000"/>
        <rFont val="宋体"/>
        <family val="3"/>
        <charset val="134"/>
      </rPr>
      <t>细分功能的驱动器</t>
    </r>
    <r>
      <rPr>
        <sz val="11"/>
        <color theme="1"/>
        <rFont val="Tahoma"/>
        <family val="2"/>
      </rPr>
      <t>,</t>
    </r>
    <r>
      <rPr>
        <sz val="11"/>
        <color theme="1"/>
        <rFont val="宋体"/>
        <family val="3"/>
        <charset val="134"/>
      </rPr>
      <t>这是最常用的</t>
    </r>
    <r>
      <rPr>
        <sz val="11"/>
        <color theme="1"/>
        <rFont val="Tahoma"/>
        <family val="2"/>
      </rPr>
      <t>,</t>
    </r>
    <r>
      <rPr>
        <sz val="11"/>
        <color theme="1"/>
        <rFont val="宋体"/>
        <family val="3"/>
        <charset val="134"/>
      </rPr>
      <t>最简便的方法</t>
    </r>
    <r>
      <rPr>
        <sz val="11"/>
        <color theme="1"/>
        <rFont val="Tahoma"/>
        <family val="2"/>
      </rPr>
      <t>; 
C.</t>
    </r>
    <r>
      <rPr>
        <sz val="11"/>
        <color theme="1"/>
        <rFont val="宋体"/>
        <family val="3"/>
        <charset val="134"/>
      </rPr>
      <t>换成步距角更小的步进电机</t>
    </r>
    <r>
      <rPr>
        <sz val="11"/>
        <color theme="1"/>
        <rFont val="Tahoma"/>
        <family val="2"/>
      </rPr>
      <t>,</t>
    </r>
    <r>
      <rPr>
        <sz val="11"/>
        <color theme="1"/>
        <rFont val="宋体"/>
        <family val="3"/>
        <charset val="134"/>
      </rPr>
      <t>如三相或五相步进电机</t>
    </r>
    <r>
      <rPr>
        <sz val="11"/>
        <color theme="1"/>
        <rFont val="Tahoma"/>
        <family val="2"/>
      </rPr>
      <t>; 
D.</t>
    </r>
    <r>
      <rPr>
        <sz val="11"/>
        <color theme="1"/>
        <rFont val="宋体"/>
        <family val="3"/>
        <charset val="134"/>
      </rPr>
      <t>换成交流伺服电机</t>
    </r>
    <r>
      <rPr>
        <sz val="11"/>
        <color theme="1"/>
        <rFont val="Tahoma"/>
        <family val="2"/>
      </rPr>
      <t>,</t>
    </r>
    <r>
      <rPr>
        <sz val="11"/>
        <color theme="1"/>
        <rFont val="宋体"/>
        <family val="3"/>
        <charset val="134"/>
      </rPr>
      <t>几乎可以完全克服震动和噪声</t>
    </r>
    <r>
      <rPr>
        <sz val="11"/>
        <color theme="1"/>
        <rFont val="Tahoma"/>
        <family val="2"/>
      </rPr>
      <t>,</t>
    </r>
    <r>
      <rPr>
        <sz val="11"/>
        <color theme="1"/>
        <rFont val="宋体"/>
        <family val="3"/>
        <charset val="134"/>
      </rPr>
      <t>但成本较高</t>
    </r>
    <r>
      <rPr>
        <sz val="11"/>
        <color theme="1"/>
        <rFont val="Tahoma"/>
        <family val="2"/>
      </rPr>
      <t>; 
E.</t>
    </r>
    <r>
      <rPr>
        <sz val="11"/>
        <color theme="1"/>
        <rFont val="宋体"/>
        <family val="3"/>
        <charset val="134"/>
      </rPr>
      <t>在电机轴上加磁性阻尼器</t>
    </r>
    <r>
      <rPr>
        <sz val="11"/>
        <color theme="1"/>
        <rFont val="Tahoma"/>
        <family val="2"/>
      </rPr>
      <t>,</t>
    </r>
    <r>
      <rPr>
        <sz val="11"/>
        <color theme="1"/>
        <rFont val="宋体"/>
        <family val="3"/>
        <charset val="134"/>
      </rPr>
      <t>市场上已有这种产品</t>
    </r>
    <r>
      <rPr>
        <sz val="11"/>
        <color theme="1"/>
        <rFont val="Tahoma"/>
        <family val="2"/>
      </rPr>
      <t>,</t>
    </r>
    <r>
      <rPr>
        <sz val="11"/>
        <color theme="1"/>
        <rFont val="宋体"/>
        <family val="3"/>
        <charset val="134"/>
      </rPr>
      <t>但机械结构改变较大</t>
    </r>
    <r>
      <rPr>
        <sz val="11"/>
        <color theme="1"/>
        <rFont val="Tahoma"/>
        <family val="2"/>
      </rPr>
      <t>.</t>
    </r>
    <phoneticPr fontId="4" type="noConversion"/>
  </si>
  <si>
    <t xml:space="preserve">不考虑传动效率时可省略η
</t>
    <phoneticPr fontId="4" type="noConversion"/>
  </si>
  <si>
    <t>惯量转换公式</t>
    <phoneticPr fontId="4" type="noConversion"/>
  </si>
  <si>
    <r>
      <t xml:space="preserve">          </t>
    </r>
    <r>
      <rPr>
        <sz val="11"/>
        <color theme="1"/>
        <rFont val="宋体"/>
        <family val="3"/>
        <charset val="134"/>
      </rPr>
      <t>表示负载端惯量转换到丝杆上</t>
    </r>
    <phoneticPr fontId="4" type="noConversion"/>
  </si>
  <si>
    <t xml:space="preserve">文档信息
编写：图惜
                                                                                                2018.9.7  
</t>
    <phoneticPr fontId="4" type="noConversion"/>
  </si>
  <si>
    <r>
      <t xml:space="preserve">          </t>
    </r>
    <r>
      <rPr>
        <sz val="11"/>
        <color theme="1"/>
        <rFont val="宋体"/>
        <family val="3"/>
        <charset val="134"/>
      </rPr>
      <t>表示从动轮</t>
    </r>
    <r>
      <rPr>
        <sz val="11"/>
        <color theme="1"/>
        <rFont val="宋体"/>
        <family val="3"/>
        <charset val="134"/>
      </rPr>
      <t>惯量</t>
    </r>
    <r>
      <rPr>
        <sz val="11"/>
        <color theme="1"/>
        <rFont val="Tahoma"/>
        <family val="2"/>
      </rPr>
      <t>J</t>
    </r>
    <r>
      <rPr>
        <vertAlign val="subscript"/>
        <sz val="14"/>
        <color theme="1"/>
        <rFont val="Tahoma"/>
        <family val="2"/>
      </rPr>
      <t>2</t>
    </r>
    <r>
      <rPr>
        <sz val="11"/>
        <color theme="1"/>
        <rFont val="宋体"/>
        <family val="3"/>
        <charset val="134"/>
      </rPr>
      <t>转换到主动轮</t>
    </r>
    <r>
      <rPr>
        <sz val="11"/>
        <color theme="1"/>
        <rFont val="宋体"/>
        <family val="3"/>
        <charset val="134"/>
      </rPr>
      <t>上</t>
    </r>
    <phoneticPr fontId="4" type="noConversion"/>
  </si>
  <si>
    <r>
      <t xml:space="preserve">          </t>
    </r>
    <r>
      <rPr>
        <sz val="11"/>
        <color theme="1"/>
        <rFont val="宋体"/>
        <family val="3"/>
        <charset val="134"/>
      </rPr>
      <t>表示负载端惯量</t>
    </r>
    <r>
      <rPr>
        <sz val="11"/>
        <color theme="1"/>
        <rFont val="Tahoma"/>
        <family val="2"/>
      </rPr>
      <t>J</t>
    </r>
    <r>
      <rPr>
        <vertAlign val="subscript"/>
        <sz val="14"/>
        <color theme="1"/>
        <rFont val="Tahoma"/>
        <family val="2"/>
      </rPr>
      <t>L</t>
    </r>
    <r>
      <rPr>
        <sz val="11"/>
        <color theme="1"/>
        <rFont val="宋体"/>
        <family val="3"/>
        <charset val="134"/>
      </rPr>
      <t>转换到</t>
    </r>
    <r>
      <rPr>
        <sz val="11"/>
        <color theme="1"/>
        <rFont val="宋体"/>
        <family val="3"/>
        <charset val="134"/>
      </rPr>
      <t>减速机输入端</t>
    </r>
    <phoneticPr fontId="4" type="noConversion"/>
  </si>
  <si>
    <r>
      <rPr>
        <sz val="11"/>
        <color theme="1"/>
        <rFont val="宋体"/>
        <family val="3"/>
        <charset val="134"/>
      </rPr>
      <t>转动惯量</t>
    </r>
    <r>
      <rPr>
        <sz val="11"/>
        <color theme="1"/>
        <rFont val="Tahoma"/>
        <family val="2"/>
      </rPr>
      <t>J</t>
    </r>
    <r>
      <rPr>
        <sz val="11"/>
        <color theme="1"/>
        <rFont val="宋体"/>
        <family val="3"/>
        <charset val="134"/>
      </rPr>
      <t xml:space="preserve">
</t>
    </r>
    <r>
      <rPr>
        <sz val="11"/>
        <color theme="1"/>
        <rFont val="Tahoma"/>
        <family val="2"/>
      </rPr>
      <t>(kg.cm²)</t>
    </r>
    <phoneticPr fontId="4" type="noConversion"/>
  </si>
  <si>
    <r>
      <rPr>
        <sz val="11"/>
        <color theme="1"/>
        <rFont val="宋体"/>
        <family val="3"/>
        <charset val="134"/>
      </rPr>
      <t>图中尺寸</t>
    </r>
    <r>
      <rPr>
        <sz val="11"/>
        <color theme="1"/>
        <rFont val="Tahoma"/>
        <family val="2"/>
      </rPr>
      <t>(kg,mm)</t>
    </r>
    <phoneticPr fontId="4" type="noConversion"/>
  </si>
  <si>
    <t>质量</t>
    <phoneticPr fontId="4" type="noConversion"/>
  </si>
  <si>
    <t>主动轮</t>
    <phoneticPr fontId="4" type="noConversion"/>
  </si>
  <si>
    <t>负载或从动轮</t>
    <phoneticPr fontId="4" type="noConversion"/>
  </si>
  <si>
    <t>减速比</t>
    <phoneticPr fontId="4" type="noConversion"/>
  </si>
  <si>
    <t>传动效率</t>
    <phoneticPr fontId="4" type="noConversion"/>
  </si>
  <si>
    <t>m(kg)</t>
    <phoneticPr fontId="4" type="noConversion"/>
  </si>
  <si>
    <t>r(mm)</t>
    <phoneticPr fontId="4" type="noConversion"/>
  </si>
  <si>
    <r>
      <rPr>
        <sz val="11"/>
        <color theme="1"/>
        <rFont val="宋体"/>
        <family val="3"/>
        <charset val="134"/>
      </rPr>
      <t>或</t>
    </r>
    <r>
      <rPr>
        <sz val="11"/>
        <color theme="1"/>
        <rFont val="Tahoma"/>
        <family val="2"/>
      </rPr>
      <t>P(mm)</t>
    </r>
    <phoneticPr fontId="4" type="noConversion"/>
  </si>
  <si>
    <t>i</t>
    <phoneticPr fontId="4" type="noConversion"/>
  </si>
  <si>
    <t>(kg.cm²)</t>
    <phoneticPr fontId="4" type="noConversion"/>
  </si>
  <si>
    <r>
      <rPr>
        <sz val="10"/>
        <color theme="1"/>
        <rFont val="宋体"/>
        <family val="3"/>
        <charset val="134"/>
      </rPr>
      <t>丝杆导程</t>
    </r>
    <r>
      <rPr>
        <sz val="11"/>
        <color theme="1"/>
        <rFont val="Tahoma"/>
        <family val="2"/>
      </rPr>
      <t>Bp</t>
    </r>
    <phoneticPr fontId="4" type="noConversion"/>
  </si>
  <si>
    <r>
      <t>J</t>
    </r>
    <r>
      <rPr>
        <vertAlign val="subscript"/>
        <sz val="14"/>
        <color theme="1"/>
        <rFont val="Tahoma"/>
        <family val="2"/>
      </rPr>
      <t>L</t>
    </r>
    <r>
      <rPr>
        <sz val="11"/>
        <color theme="1"/>
        <rFont val="Tahoma"/>
        <family val="2"/>
      </rPr>
      <t>(J</t>
    </r>
    <r>
      <rPr>
        <vertAlign val="subscript"/>
        <sz val="14"/>
        <color theme="1"/>
        <rFont val="Tahoma"/>
        <family val="2"/>
      </rPr>
      <t>2</t>
    </r>
    <r>
      <rPr>
        <sz val="11"/>
        <color theme="1"/>
        <rFont val="Tahoma"/>
        <family val="2"/>
      </rPr>
      <t>)(kg.cm²)</t>
    </r>
    <phoneticPr fontId="4" type="noConversion"/>
  </si>
  <si>
    <r>
      <rPr>
        <sz val="11"/>
        <color theme="1"/>
        <rFont val="宋体"/>
        <family val="3"/>
        <charset val="134"/>
      </rPr>
      <t>转换惯量</t>
    </r>
    <r>
      <rPr>
        <sz val="11"/>
        <color theme="1"/>
        <rFont val="Tahoma"/>
        <family val="2"/>
      </rPr>
      <t>J</t>
    </r>
    <phoneticPr fontId="4" type="noConversion"/>
  </si>
  <si>
    <r>
      <t>说明：
       1，传动机构的惯量转换遵循</t>
    </r>
    <r>
      <rPr>
        <sz val="11"/>
        <color rgb="FFFF0000"/>
        <rFont val="微软雅黑"/>
        <family val="2"/>
        <charset val="134"/>
      </rPr>
      <t>动能守恒</t>
    </r>
    <r>
      <rPr>
        <sz val="11"/>
        <color theme="1"/>
        <rFont val="微软雅黑"/>
        <family val="2"/>
        <charset val="134"/>
      </rPr>
      <t>定律，比如直线运动负载的惯量转换到主动轮上：                                          又由于                      所以得到 
又如丝杆负载直线速度与丝杆角速度关系：                    所以得到
（其中w为角速度，Bp是导程）。然后转换时考虑效率η便得到以上表中公式。
        2，注意惯量</t>
    </r>
    <r>
      <rPr>
        <sz val="11"/>
        <color rgb="FFFF0000"/>
        <rFont val="微软雅黑"/>
        <family val="2"/>
        <charset val="134"/>
      </rPr>
      <t>单位</t>
    </r>
    <r>
      <rPr>
        <sz val="11"/>
        <color theme="1"/>
        <rFont val="微软雅黑"/>
        <family val="2"/>
        <charset val="134"/>
      </rPr>
      <t>换算：1kg.m</t>
    </r>
    <r>
      <rPr>
        <vertAlign val="superscript"/>
        <sz val="14"/>
        <color theme="1"/>
        <rFont val="微软雅黑"/>
        <family val="2"/>
        <charset val="134"/>
      </rPr>
      <t>2</t>
    </r>
    <r>
      <rPr>
        <sz val="11"/>
        <color theme="1"/>
        <rFont val="微软雅黑"/>
        <family val="2"/>
        <charset val="134"/>
      </rPr>
      <t>=1x10</t>
    </r>
    <r>
      <rPr>
        <vertAlign val="superscript"/>
        <sz val="14"/>
        <color theme="1"/>
        <rFont val="微软雅黑"/>
        <family val="2"/>
        <charset val="134"/>
      </rPr>
      <t>4</t>
    </r>
    <r>
      <rPr>
        <sz val="11"/>
        <color theme="1"/>
        <rFont val="微软雅黑"/>
        <family val="2"/>
        <charset val="134"/>
      </rPr>
      <t>kg.cm</t>
    </r>
    <r>
      <rPr>
        <vertAlign val="superscript"/>
        <sz val="14"/>
        <color theme="1"/>
        <rFont val="微软雅黑"/>
        <family val="2"/>
        <charset val="134"/>
      </rPr>
      <t>2</t>
    </r>
    <r>
      <rPr>
        <sz val="11"/>
        <color theme="1"/>
        <rFont val="微软雅黑"/>
        <family val="2"/>
        <charset val="134"/>
      </rPr>
      <t>，1kg.cm</t>
    </r>
    <r>
      <rPr>
        <vertAlign val="superscript"/>
        <sz val="14"/>
        <color theme="1"/>
        <rFont val="微软雅黑"/>
        <family val="2"/>
        <charset val="134"/>
      </rPr>
      <t>2</t>
    </r>
    <r>
      <rPr>
        <sz val="11"/>
        <color theme="1"/>
        <rFont val="微软雅黑"/>
        <family val="2"/>
        <charset val="134"/>
      </rPr>
      <t>=100kg.mm</t>
    </r>
    <r>
      <rPr>
        <vertAlign val="superscript"/>
        <sz val="14"/>
        <color theme="1"/>
        <rFont val="微软雅黑"/>
        <family val="2"/>
        <charset val="134"/>
      </rPr>
      <t>2</t>
    </r>
    <phoneticPr fontId="4" type="noConversion"/>
  </si>
  <si>
    <r>
      <t>皮带输送机，
直线平台往复运动(</t>
    </r>
    <r>
      <rPr>
        <sz val="10.5"/>
        <color theme="9" tint="-0.249977111117893"/>
        <rFont val="宋体"/>
        <family val="3"/>
        <charset val="134"/>
      </rPr>
      <t>链传动，带传动，齿轮齿条传动</t>
    </r>
    <r>
      <rPr>
        <sz val="11"/>
        <color theme="1"/>
        <rFont val="宋体"/>
        <family val="3"/>
        <charset val="134"/>
      </rPr>
      <t>),
卷扬机构</t>
    </r>
    <phoneticPr fontId="4" type="noConversion"/>
  </si>
  <si>
    <r>
      <t>从动轮惯量折算到主动轮(</t>
    </r>
    <r>
      <rPr>
        <sz val="11"/>
        <color theme="9" tint="-0.249977111117893"/>
        <rFont val="宋体"/>
        <family val="3"/>
        <charset val="134"/>
      </rPr>
      <t>链传动,带传动,齿轮传动,蜗轮蜗杆传动</t>
    </r>
    <phoneticPr fontId="4" type="noConversion"/>
  </si>
  <si>
    <r>
      <rPr>
        <sz val="11"/>
        <color theme="1"/>
        <rFont val="宋体"/>
        <family val="3"/>
        <charset val="134"/>
      </rPr>
      <t>质量</t>
    </r>
    <r>
      <rPr>
        <sz val="11"/>
        <color theme="1"/>
        <rFont val="Tahoma"/>
        <family val="2"/>
      </rPr>
      <t>m</t>
    </r>
    <phoneticPr fontId="4" type="noConversion"/>
  </si>
  <si>
    <t xml:space="preserve">  图示</t>
    <phoneticPr fontId="4" type="noConversion"/>
  </si>
  <si>
    <r>
      <rPr>
        <sz val="11"/>
        <color theme="1"/>
        <rFont val="宋体"/>
        <family val="3"/>
        <charset val="134"/>
      </rPr>
      <t>惯量</t>
    </r>
    <r>
      <rPr>
        <sz val="11"/>
        <color theme="1"/>
        <rFont val="Tahoma"/>
        <family val="2"/>
      </rPr>
      <t>J0</t>
    </r>
    <r>
      <rPr>
        <sz val="11"/>
        <color theme="1"/>
        <rFont val="宋体"/>
        <family val="3"/>
        <charset val="134"/>
      </rPr>
      <t>公式</t>
    </r>
    <phoneticPr fontId="4" type="noConversion"/>
  </si>
  <si>
    <r>
      <t>R(</t>
    </r>
    <r>
      <rPr>
        <sz val="11"/>
        <color theme="1"/>
        <rFont val="宋体"/>
        <family val="3"/>
        <charset val="134"/>
      </rPr>
      <t>或</t>
    </r>
    <r>
      <rPr>
        <sz val="11"/>
        <color theme="1"/>
        <rFont val="Tahoma"/>
        <family val="2"/>
      </rPr>
      <t>a)</t>
    </r>
    <phoneticPr fontId="4" type="noConversion"/>
  </si>
  <si>
    <r>
      <t>r(</t>
    </r>
    <r>
      <rPr>
        <sz val="11"/>
        <color theme="1"/>
        <rFont val="宋体"/>
        <family val="3"/>
        <charset val="134"/>
      </rPr>
      <t>或</t>
    </r>
    <r>
      <rPr>
        <sz val="11"/>
        <color theme="1"/>
        <rFont val="Tahoma"/>
        <family val="2"/>
      </rPr>
      <t>b)</t>
    </r>
    <phoneticPr fontId="4" type="noConversion"/>
  </si>
  <si>
    <t>形状与转轴</t>
    <phoneticPr fontId="4" type="noConversion"/>
  </si>
  <si>
    <r>
      <rPr>
        <sz val="11"/>
        <color theme="1"/>
        <rFont val="宋体"/>
        <family val="3"/>
        <charset val="134"/>
      </rPr>
      <t>工作台重量</t>
    </r>
    <r>
      <rPr>
        <sz val="11"/>
        <color theme="1"/>
        <rFont val="Tahoma"/>
        <family val="2"/>
      </rPr>
      <t>m2(kg)</t>
    </r>
    <phoneticPr fontId="4" type="noConversion"/>
  </si>
  <si>
    <r>
      <rPr>
        <sz val="11"/>
        <color theme="1"/>
        <rFont val="宋体"/>
        <family val="3"/>
        <charset val="134"/>
      </rPr>
      <t>工件重量</t>
    </r>
    <r>
      <rPr>
        <sz val="11"/>
        <color theme="1"/>
        <rFont val="Tahoma"/>
        <family val="2"/>
      </rPr>
      <t>m1(kg)</t>
    </r>
    <phoneticPr fontId="4" type="noConversion"/>
  </si>
  <si>
    <r>
      <rPr>
        <sz val="11"/>
        <color theme="1"/>
        <rFont val="宋体"/>
        <family val="3"/>
        <charset val="134"/>
      </rPr>
      <t>静止时间</t>
    </r>
    <r>
      <rPr>
        <sz val="11"/>
        <color theme="1"/>
        <rFont val="Tahoma"/>
        <family val="2"/>
      </rPr>
      <t>t4(s)</t>
    </r>
    <phoneticPr fontId="4" type="noConversion"/>
  </si>
  <si>
    <t>即无效行程</t>
    <phoneticPr fontId="4" type="noConversion"/>
  </si>
  <si>
    <r>
      <rPr>
        <sz val="11"/>
        <color theme="1"/>
        <rFont val="宋体"/>
        <family val="3"/>
        <charset val="134"/>
      </rPr>
      <t>轴向游隙</t>
    </r>
    <r>
      <rPr>
        <sz val="11"/>
        <color theme="1"/>
        <rFont val="Tahoma"/>
        <family val="2"/>
      </rPr>
      <t>Ly(mm)</t>
    </r>
    <phoneticPr fontId="4" type="noConversion"/>
  </si>
  <si>
    <r>
      <rPr>
        <sz val="11"/>
        <color theme="1"/>
        <rFont val="宋体"/>
        <family val="3"/>
        <charset val="134"/>
      </rPr>
      <t>反复定位精度</t>
    </r>
    <r>
      <rPr>
        <sz val="11"/>
        <color theme="1"/>
        <rFont val="Tahoma"/>
        <family val="2"/>
      </rPr>
      <t>Lj(±mm)</t>
    </r>
    <phoneticPr fontId="4" type="noConversion"/>
  </si>
  <si>
    <t>外力f(N)</t>
    <phoneticPr fontId="4" type="noConversion"/>
  </si>
  <si>
    <r>
      <rPr>
        <sz val="11"/>
        <color theme="1"/>
        <rFont val="宋体"/>
        <family val="3"/>
        <charset val="134"/>
      </rPr>
      <t>设计寿命</t>
    </r>
    <r>
      <rPr>
        <sz val="11"/>
        <color theme="1"/>
        <rFont val="Tahoma"/>
        <family val="2"/>
      </rPr>
      <t>Lh(h)</t>
    </r>
    <phoneticPr fontId="4" type="noConversion"/>
  </si>
  <si>
    <r>
      <rPr>
        <sz val="11"/>
        <color theme="1"/>
        <rFont val="宋体"/>
        <family val="3"/>
        <charset val="134"/>
      </rPr>
      <t>减速比</t>
    </r>
    <r>
      <rPr>
        <sz val="11"/>
        <color theme="1"/>
        <rFont val="Tahoma"/>
        <family val="2"/>
      </rPr>
      <t>i</t>
    </r>
    <phoneticPr fontId="4" type="noConversion"/>
  </si>
  <si>
    <t>无减速机时填1</t>
    <phoneticPr fontId="4" type="noConversion"/>
  </si>
  <si>
    <r>
      <rPr>
        <sz val="11"/>
        <color theme="1"/>
        <rFont val="宋体"/>
        <family val="3"/>
        <charset val="134"/>
      </rPr>
      <t>倾斜角</t>
    </r>
    <r>
      <rPr>
        <sz val="11"/>
        <color theme="1"/>
        <rFont val="Tahoma"/>
        <family val="2"/>
      </rPr>
      <t xml:space="preserve">α(°, </t>
    </r>
    <r>
      <rPr>
        <sz val="11"/>
        <color theme="1"/>
        <rFont val="宋体"/>
        <family val="3"/>
        <charset val="134"/>
      </rPr>
      <t>水平</t>
    </r>
    <r>
      <rPr>
        <sz val="11"/>
        <color theme="1"/>
        <rFont val="Tahoma"/>
        <family val="2"/>
      </rPr>
      <t>0,</t>
    </r>
    <r>
      <rPr>
        <sz val="11"/>
        <color theme="1"/>
        <rFont val="宋体"/>
        <family val="3"/>
        <charset val="134"/>
      </rPr>
      <t>竖直</t>
    </r>
    <r>
      <rPr>
        <sz val="11"/>
        <color theme="1"/>
        <rFont val="Tahoma"/>
        <family val="2"/>
      </rPr>
      <t>90)</t>
    </r>
    <phoneticPr fontId="4" type="noConversion"/>
  </si>
  <si>
    <r>
      <rPr>
        <sz val="11"/>
        <color theme="1"/>
        <rFont val="宋体"/>
        <family val="3"/>
        <charset val="134"/>
      </rPr>
      <t>倾斜角</t>
    </r>
    <r>
      <rPr>
        <sz val="11"/>
        <color theme="1"/>
        <rFont val="Tahoma"/>
        <family val="2"/>
      </rPr>
      <t>θ(°</t>
    </r>
    <r>
      <rPr>
        <sz val="11"/>
        <color theme="1"/>
        <rFont val="Tahoma"/>
        <family val="2"/>
      </rPr>
      <t>)</t>
    </r>
    <phoneticPr fontId="4" type="noConversion"/>
  </si>
  <si>
    <t>水平0,竖直90</t>
    <phoneticPr fontId="4" type="noConversion"/>
  </si>
  <si>
    <r>
      <t>1</t>
    </r>
    <r>
      <rPr>
        <sz val="11"/>
        <color theme="1"/>
        <rFont val="宋体"/>
        <family val="3"/>
        <charset val="134"/>
      </rPr>
      <t>，精度选择</t>
    </r>
    <phoneticPr fontId="4" type="noConversion"/>
  </si>
  <si>
    <r>
      <rPr>
        <sz val="11"/>
        <color theme="1"/>
        <rFont val="宋体"/>
        <family val="3"/>
        <charset val="134"/>
      </rPr>
      <t>定位精度转换</t>
    </r>
    <r>
      <rPr>
        <sz val="11"/>
        <color theme="1"/>
        <rFont val="Tahoma"/>
        <family val="2"/>
      </rPr>
      <t>Lj(±mm)</t>
    </r>
    <phoneticPr fontId="4" type="noConversion"/>
  </si>
  <si>
    <r>
      <rPr>
        <sz val="11"/>
        <color theme="1"/>
        <rFont val="宋体"/>
        <family val="3"/>
        <charset val="134"/>
      </rPr>
      <t>最大线速</t>
    </r>
    <r>
      <rPr>
        <sz val="11"/>
        <color theme="1"/>
        <rFont val="Tahoma"/>
        <family val="2"/>
      </rPr>
      <t>Vmax(m/min)</t>
    </r>
    <phoneticPr fontId="4" type="noConversion"/>
  </si>
  <si>
    <r>
      <rPr>
        <sz val="11"/>
        <color theme="1"/>
        <rFont val="宋体"/>
        <family val="3"/>
        <charset val="134"/>
      </rPr>
      <t>运行行程</t>
    </r>
    <r>
      <rPr>
        <sz val="11"/>
        <color theme="1"/>
        <rFont val="Tahoma"/>
        <family val="2"/>
      </rPr>
      <t>L</t>
    </r>
    <r>
      <rPr>
        <sz val="11"/>
        <color theme="1"/>
        <rFont val="Tahoma"/>
        <family val="2"/>
      </rPr>
      <t>(mm)</t>
    </r>
    <phoneticPr fontId="4" type="noConversion"/>
  </si>
  <si>
    <r>
      <rPr>
        <sz val="11"/>
        <color theme="1"/>
        <rFont val="宋体"/>
        <family val="3"/>
        <charset val="134"/>
      </rPr>
      <t>往复一个周期时间</t>
    </r>
    <r>
      <rPr>
        <sz val="11"/>
        <color theme="1"/>
        <rFont val="Tahoma"/>
        <family val="2"/>
      </rPr>
      <t>t(s)</t>
    </r>
    <phoneticPr fontId="4" type="noConversion"/>
  </si>
  <si>
    <t>t=60/N</t>
    <phoneticPr fontId="4" type="noConversion"/>
  </si>
  <si>
    <r>
      <rPr>
        <sz val="11"/>
        <color theme="1"/>
        <rFont val="宋体"/>
        <family val="3"/>
        <charset val="134"/>
      </rPr>
      <t>伺服电机为</t>
    </r>
    <r>
      <rPr>
        <sz val="11"/>
        <color theme="1"/>
        <rFont val="Tahoma"/>
        <family val="2"/>
      </rPr>
      <t>3000</t>
    </r>
    <phoneticPr fontId="4" type="noConversion"/>
  </si>
  <si>
    <t>n=n0/i</t>
    <phoneticPr fontId="4" type="noConversion"/>
  </si>
  <si>
    <r>
      <rPr>
        <sz val="11"/>
        <color theme="1"/>
        <rFont val="宋体"/>
        <family val="3"/>
        <charset val="134"/>
      </rPr>
      <t>电机额定转速</t>
    </r>
    <r>
      <rPr>
        <sz val="11"/>
        <color theme="1"/>
        <rFont val="Tahoma"/>
        <family val="2"/>
      </rPr>
      <t>n0(r/min)</t>
    </r>
    <phoneticPr fontId="4" type="noConversion"/>
  </si>
  <si>
    <r>
      <rPr>
        <sz val="11"/>
        <color theme="1"/>
        <rFont val="宋体"/>
        <family val="3"/>
        <charset val="134"/>
      </rPr>
      <t>丝杆转速</t>
    </r>
    <r>
      <rPr>
        <sz val="11"/>
        <color theme="1"/>
        <rFont val="Tahoma"/>
        <family val="2"/>
      </rPr>
      <t>n(r/min)</t>
    </r>
    <phoneticPr fontId="4" type="noConversion"/>
  </si>
  <si>
    <t>安装方法</t>
    <phoneticPr fontId="4" type="noConversion"/>
  </si>
  <si>
    <t>λ1</t>
    <phoneticPr fontId="4" type="noConversion"/>
  </si>
  <si>
    <t>λ2</t>
    <phoneticPr fontId="4" type="noConversion"/>
  </si>
  <si>
    <t>多为固定—支撑</t>
    <phoneticPr fontId="4" type="noConversion"/>
  </si>
  <si>
    <r>
      <rPr>
        <sz val="11"/>
        <color theme="1"/>
        <rFont val="宋体"/>
        <family val="3"/>
        <charset val="134"/>
      </rPr>
      <t>丝杆传动效率</t>
    </r>
    <r>
      <rPr>
        <sz val="11"/>
        <color theme="1"/>
        <rFont val="Tahoma"/>
        <family val="2"/>
      </rPr>
      <t>η</t>
    </r>
    <phoneticPr fontId="4" type="noConversion"/>
  </si>
  <si>
    <t>η2</t>
    <phoneticPr fontId="4" type="noConversion"/>
  </si>
  <si>
    <t>η1</t>
    <phoneticPr fontId="4" type="noConversion"/>
  </si>
  <si>
    <r>
      <t>3</t>
    </r>
    <r>
      <rPr>
        <sz val="11"/>
        <color theme="1"/>
        <rFont val="宋体"/>
        <family val="3"/>
        <charset val="134"/>
      </rPr>
      <t>，确定安装方向及系数</t>
    </r>
    <phoneticPr fontId="4" type="noConversion"/>
  </si>
  <si>
    <r>
      <rPr>
        <sz val="11"/>
        <color theme="1"/>
        <rFont val="宋体"/>
        <family val="3"/>
        <charset val="134"/>
      </rPr>
      <t>负载总重量</t>
    </r>
    <r>
      <rPr>
        <sz val="11"/>
        <color theme="1"/>
        <rFont val="Tahoma"/>
        <family val="2"/>
      </rPr>
      <t>m(kg)</t>
    </r>
    <phoneticPr fontId="4" type="noConversion"/>
  </si>
  <si>
    <t>轴承安装距离La(mm)</t>
    <phoneticPr fontId="4" type="noConversion"/>
  </si>
  <si>
    <t>建议行程+200</t>
    <phoneticPr fontId="4" type="noConversion"/>
  </si>
  <si>
    <r>
      <rPr>
        <sz val="11"/>
        <color theme="1"/>
        <rFont val="宋体"/>
        <family val="3"/>
        <charset val="134"/>
      </rPr>
      <t>表</t>
    </r>
    <r>
      <rPr>
        <sz val="11"/>
        <color theme="1"/>
        <rFont val="Tahoma"/>
        <family val="2"/>
      </rPr>
      <t>3 THK</t>
    </r>
    <r>
      <rPr>
        <sz val="11"/>
        <color theme="1"/>
        <rFont val="宋体"/>
        <family val="3"/>
        <charset val="134"/>
      </rPr>
      <t>轧制丝杆直径与导程标准组合</t>
    </r>
    <phoneticPr fontId="4" type="noConversion"/>
  </si>
  <si>
    <r>
      <t>THK</t>
    </r>
    <r>
      <rPr>
        <sz val="11"/>
        <color theme="1"/>
        <rFont val="宋体"/>
        <family val="3"/>
        <charset val="134"/>
      </rPr>
      <t>精密丝杆直径与导程标准组合</t>
    </r>
    <phoneticPr fontId="4" type="noConversion"/>
  </si>
  <si>
    <r>
      <rPr>
        <sz val="11"/>
        <color theme="1"/>
        <rFont val="宋体"/>
        <family val="3"/>
        <charset val="134"/>
      </rPr>
      <t>表</t>
    </r>
    <r>
      <rPr>
        <sz val="11"/>
        <color theme="1"/>
        <rFont val="Tahoma"/>
        <family val="2"/>
      </rPr>
      <t>1 THK</t>
    </r>
    <r>
      <rPr>
        <sz val="11"/>
        <color theme="1"/>
        <rFont val="宋体"/>
        <family val="3"/>
        <charset val="134"/>
      </rPr>
      <t>丝杆导程精度</t>
    </r>
    <r>
      <rPr>
        <sz val="11"/>
        <color theme="1"/>
        <rFont val="Tahoma"/>
        <family val="2"/>
      </rPr>
      <t>(</t>
    </r>
    <r>
      <rPr>
        <sz val="11"/>
        <color theme="1"/>
        <rFont val="宋体"/>
        <family val="3"/>
        <charset val="134"/>
      </rPr>
      <t>单位</t>
    </r>
    <r>
      <rPr>
        <sz val="11"/>
        <color theme="1"/>
        <rFont val="Tahoma"/>
        <family val="2"/>
      </rPr>
      <t>um)</t>
    </r>
    <phoneticPr fontId="4" type="noConversion"/>
  </si>
  <si>
    <t>C10</t>
  </si>
  <si>
    <t>丝杆精度选择</t>
    <phoneticPr fontId="4" type="noConversion"/>
  </si>
  <si>
    <t>丝杆类型</t>
    <phoneticPr fontId="4" type="noConversion"/>
  </si>
  <si>
    <r>
      <rPr>
        <sz val="11"/>
        <color theme="1"/>
        <rFont val="宋体"/>
        <family val="3"/>
        <charset val="134"/>
      </rPr>
      <t>表</t>
    </r>
    <r>
      <rPr>
        <sz val="11"/>
        <color theme="1"/>
        <rFont val="Tahoma"/>
        <family val="2"/>
      </rPr>
      <t>1</t>
    </r>
    <phoneticPr fontId="4" type="noConversion"/>
  </si>
  <si>
    <r>
      <rPr>
        <sz val="11"/>
        <color theme="1"/>
        <rFont val="宋体"/>
        <family val="3"/>
        <charset val="134"/>
      </rPr>
      <t>注：</t>
    </r>
    <r>
      <rPr>
        <sz val="11"/>
        <color theme="1"/>
        <rFont val="Tahoma"/>
        <family val="2"/>
      </rPr>
      <t>1mm=1000um</t>
    </r>
    <phoneticPr fontId="4" type="noConversion"/>
  </si>
  <si>
    <t>轧制丝杆</t>
  </si>
  <si>
    <r>
      <rPr>
        <sz val="11"/>
        <color theme="1"/>
        <rFont val="宋体"/>
        <family val="3"/>
        <charset val="134"/>
      </rPr>
      <t>表</t>
    </r>
    <r>
      <rPr>
        <sz val="11"/>
        <color theme="1"/>
        <rFont val="Tahoma"/>
        <family val="2"/>
      </rPr>
      <t>2 THK</t>
    </r>
    <r>
      <rPr>
        <sz val="11"/>
        <color theme="1"/>
        <rFont val="宋体"/>
        <family val="3"/>
        <charset val="134"/>
      </rPr>
      <t>丝杆外径对于轴向游隙</t>
    </r>
    <phoneticPr fontId="4" type="noConversion"/>
  </si>
  <si>
    <r>
      <rPr>
        <sz val="11"/>
        <color theme="1"/>
        <rFont val="宋体"/>
        <family val="3"/>
        <charset val="134"/>
      </rPr>
      <t>轴向游隙</t>
    </r>
    <r>
      <rPr>
        <sz val="11"/>
        <color theme="1"/>
        <rFont val="Tahoma"/>
        <family val="2"/>
      </rPr>
      <t>Ly(mm)</t>
    </r>
    <phoneticPr fontId="4" type="noConversion"/>
  </si>
  <si>
    <r>
      <t>Bp=Vmax/n(</t>
    </r>
    <r>
      <rPr>
        <sz val="11"/>
        <color theme="1"/>
        <rFont val="宋体"/>
        <family val="3"/>
        <charset val="134"/>
      </rPr>
      <t>注意单位</t>
    </r>
    <r>
      <rPr>
        <sz val="11"/>
        <color theme="1"/>
        <rFont val="Tahoma"/>
        <family val="2"/>
      </rPr>
      <t>)</t>
    </r>
    <phoneticPr fontId="4" type="noConversion"/>
  </si>
  <si>
    <r>
      <t>2</t>
    </r>
    <r>
      <rPr>
        <sz val="11"/>
        <color theme="1"/>
        <rFont val="宋体"/>
        <family val="3"/>
        <charset val="134"/>
      </rPr>
      <t>，由速度和游隙初选丝杆直径和导程</t>
    </r>
    <phoneticPr fontId="4" type="noConversion"/>
  </si>
  <si>
    <r>
      <rPr>
        <sz val="11"/>
        <color theme="1"/>
        <rFont val="宋体"/>
        <family val="3"/>
        <charset val="134"/>
      </rPr>
      <t>丝杆最小导程</t>
    </r>
    <r>
      <rPr>
        <sz val="11"/>
        <color theme="1"/>
        <rFont val="Tahoma"/>
        <family val="2"/>
      </rPr>
      <t>Bpmin(mm)</t>
    </r>
    <phoneticPr fontId="4" type="noConversion"/>
  </si>
  <si>
    <r>
      <rPr>
        <sz val="11"/>
        <color theme="1"/>
        <rFont val="宋体"/>
        <family val="3"/>
        <charset val="134"/>
      </rPr>
      <t>丝杆最大直径</t>
    </r>
    <r>
      <rPr>
        <sz val="11"/>
        <color theme="1"/>
        <rFont val="Tahoma"/>
        <family val="2"/>
      </rPr>
      <t>Dmax(mm)</t>
    </r>
    <phoneticPr fontId="4" type="noConversion"/>
  </si>
  <si>
    <r>
      <t>n1=Vmax/Bp(</t>
    </r>
    <r>
      <rPr>
        <sz val="11"/>
        <color theme="1"/>
        <rFont val="宋体"/>
        <family val="3"/>
        <charset val="134"/>
      </rPr>
      <t>注意单位</t>
    </r>
    <r>
      <rPr>
        <sz val="11"/>
        <color theme="1"/>
        <rFont val="Tahoma"/>
        <family val="2"/>
      </rPr>
      <t>)</t>
    </r>
    <phoneticPr fontId="4" type="noConversion"/>
  </si>
  <si>
    <r>
      <t>4</t>
    </r>
    <r>
      <rPr>
        <sz val="11"/>
        <color theme="1"/>
        <rFont val="宋体"/>
        <family val="3"/>
        <charset val="134"/>
      </rPr>
      <t>，校核拉力</t>
    </r>
    <phoneticPr fontId="4" type="noConversion"/>
  </si>
  <si>
    <r>
      <rPr>
        <sz val="11"/>
        <color theme="1"/>
        <rFont val="宋体"/>
        <family val="3"/>
        <charset val="134"/>
      </rPr>
      <t>最大轴向拉力</t>
    </r>
    <r>
      <rPr>
        <sz val="11"/>
        <color theme="1"/>
        <rFont val="Tahoma"/>
        <family val="2"/>
      </rPr>
      <t>F(N)</t>
    </r>
    <phoneticPr fontId="4" type="noConversion"/>
  </si>
  <si>
    <r>
      <rPr>
        <sz val="11"/>
        <color theme="1"/>
        <rFont val="宋体"/>
        <family val="3"/>
        <charset val="134"/>
      </rPr>
      <t>丝杆最大允许拉力</t>
    </r>
    <r>
      <rPr>
        <sz val="11"/>
        <color theme="1"/>
        <rFont val="Tahoma"/>
        <family val="2"/>
      </rPr>
      <t>[F](N)</t>
    </r>
    <phoneticPr fontId="4" type="noConversion"/>
  </si>
  <si>
    <r>
      <t>5</t>
    </r>
    <r>
      <rPr>
        <sz val="11"/>
        <color theme="1"/>
        <rFont val="宋体"/>
        <family val="3"/>
        <charset val="134"/>
      </rPr>
      <t>，校核转速</t>
    </r>
    <phoneticPr fontId="4" type="noConversion"/>
  </si>
  <si>
    <r>
      <rPr>
        <sz val="11"/>
        <color theme="1"/>
        <rFont val="宋体"/>
        <family val="3"/>
        <charset val="134"/>
      </rPr>
      <t>初选丝杆直径</t>
    </r>
    <r>
      <rPr>
        <sz val="11"/>
        <color theme="1"/>
        <rFont val="Tahoma"/>
        <family val="2"/>
      </rPr>
      <t>D(mm)</t>
    </r>
    <phoneticPr fontId="4" type="noConversion"/>
  </si>
  <si>
    <r>
      <rPr>
        <sz val="11"/>
        <color theme="1"/>
        <rFont val="宋体"/>
        <family val="3"/>
        <charset val="134"/>
      </rPr>
      <t>初选丝杆导程</t>
    </r>
    <r>
      <rPr>
        <sz val="11"/>
        <color theme="1"/>
        <rFont val="Tahoma"/>
        <family val="2"/>
      </rPr>
      <t>Bp(mm)</t>
    </r>
    <phoneticPr fontId="4" type="noConversion"/>
  </si>
  <si>
    <r>
      <rPr>
        <sz val="11"/>
        <color theme="1"/>
        <rFont val="宋体"/>
        <family val="3"/>
        <charset val="134"/>
      </rPr>
      <t>丝杆沟槽谷径</t>
    </r>
    <r>
      <rPr>
        <sz val="11"/>
        <color theme="1"/>
        <rFont val="Tahoma"/>
        <family val="2"/>
      </rPr>
      <t>Dr(mm)</t>
    </r>
    <phoneticPr fontId="4" type="noConversion"/>
  </si>
  <si>
    <r>
      <t>10</t>
    </r>
    <r>
      <rPr>
        <vertAlign val="superscript"/>
        <sz val="12"/>
        <color theme="1"/>
        <rFont val="Tahoma"/>
        <family val="2"/>
      </rPr>
      <t>4</t>
    </r>
    <r>
      <rPr>
        <sz val="11"/>
        <color theme="1"/>
        <rFont val="Tahoma"/>
        <family val="2"/>
      </rPr>
      <t>*η2*Dr</t>
    </r>
    <r>
      <rPr>
        <vertAlign val="superscript"/>
        <sz val="12"/>
        <color theme="1"/>
        <rFont val="Tahoma"/>
        <family val="2"/>
      </rPr>
      <t>4</t>
    </r>
    <r>
      <rPr>
        <sz val="11"/>
        <color theme="1"/>
        <rFont val="Tahoma"/>
        <family val="2"/>
      </rPr>
      <t>/La</t>
    </r>
    <r>
      <rPr>
        <vertAlign val="superscript"/>
        <sz val="12"/>
        <color theme="1"/>
        <rFont val="Tahoma"/>
        <family val="2"/>
      </rPr>
      <t>2</t>
    </r>
    <phoneticPr fontId="4" type="noConversion"/>
  </si>
  <si>
    <r>
      <t>10</t>
    </r>
    <r>
      <rPr>
        <vertAlign val="superscript"/>
        <sz val="12"/>
        <color theme="1"/>
        <rFont val="Tahoma"/>
        <family val="2"/>
      </rPr>
      <t>7</t>
    </r>
    <r>
      <rPr>
        <sz val="11"/>
        <color theme="1"/>
        <rFont val="Tahoma"/>
        <family val="2"/>
      </rPr>
      <t>*λ2*Dr/La</t>
    </r>
    <r>
      <rPr>
        <vertAlign val="superscript"/>
        <sz val="12"/>
        <color theme="1"/>
        <rFont val="Tahoma"/>
        <family val="2"/>
      </rPr>
      <t>2</t>
    </r>
    <phoneticPr fontId="4" type="noConversion"/>
  </si>
  <si>
    <r>
      <rPr>
        <sz val="11"/>
        <color theme="1"/>
        <rFont val="宋体"/>
        <family val="3"/>
        <charset val="134"/>
      </rPr>
      <t>丝杆实际最高转速</t>
    </r>
    <r>
      <rPr>
        <sz val="11"/>
        <color theme="1"/>
        <rFont val="Tahoma"/>
        <family val="2"/>
      </rPr>
      <t>n1(r/min)</t>
    </r>
    <phoneticPr fontId="4" type="noConversion"/>
  </si>
  <si>
    <r>
      <rPr>
        <sz val="11"/>
        <color theme="1"/>
        <rFont val="宋体"/>
        <family val="3"/>
        <charset val="134"/>
      </rPr>
      <t>钢球中心直径</t>
    </r>
    <r>
      <rPr>
        <sz val="11"/>
        <color theme="1"/>
        <rFont val="Tahoma"/>
        <family val="2"/>
      </rPr>
      <t>Dn(mm)</t>
    </r>
    <phoneticPr fontId="4" type="noConversion"/>
  </si>
  <si>
    <r>
      <t>Dn</t>
    </r>
    <r>
      <rPr>
        <sz val="11"/>
        <color theme="1"/>
        <rFont val="宋体"/>
        <family val="3"/>
        <charset val="134"/>
      </rPr>
      <t>值决定的容许转速</t>
    </r>
    <r>
      <rPr>
        <sz val="11"/>
        <color theme="1"/>
        <rFont val="Tahoma"/>
        <family val="2"/>
      </rPr>
      <t>[N2](r/min)</t>
    </r>
    <phoneticPr fontId="4" type="noConversion"/>
  </si>
  <si>
    <r>
      <t>10</t>
    </r>
    <r>
      <rPr>
        <vertAlign val="superscript"/>
        <sz val="12"/>
        <color theme="1"/>
        <rFont val="Tahoma"/>
        <family val="2"/>
      </rPr>
      <t>4</t>
    </r>
    <r>
      <rPr>
        <sz val="11"/>
        <color theme="1"/>
        <rFont val="Tahoma"/>
        <family val="2"/>
      </rPr>
      <t>/Dn</t>
    </r>
    <phoneticPr fontId="4" type="noConversion"/>
  </si>
  <si>
    <r>
      <rPr>
        <sz val="11"/>
        <color theme="1"/>
        <rFont val="宋体"/>
        <family val="3"/>
        <charset val="134"/>
      </rPr>
      <t>最大容许转速</t>
    </r>
    <r>
      <rPr>
        <sz val="11"/>
        <color theme="1"/>
        <rFont val="Tahoma"/>
        <family val="2"/>
      </rPr>
      <t>[N](r/min)</t>
    </r>
    <phoneticPr fontId="4" type="noConversion"/>
  </si>
  <si>
    <t>min{[N1],[N2]}</t>
    <phoneticPr fontId="4" type="noConversion"/>
  </si>
  <si>
    <r>
      <rPr>
        <sz val="11"/>
        <color theme="1"/>
        <rFont val="宋体"/>
        <family val="3"/>
        <charset val="134"/>
      </rPr>
      <t>丝杆直径</t>
    </r>
    <r>
      <rPr>
        <sz val="11"/>
        <color theme="1"/>
        <rFont val="Tahoma"/>
        <family val="2"/>
      </rPr>
      <t>D(mm)</t>
    </r>
    <phoneticPr fontId="4" type="noConversion"/>
  </si>
  <si>
    <r>
      <rPr>
        <sz val="11"/>
        <color theme="1"/>
        <rFont val="宋体"/>
        <family val="3"/>
        <charset val="134"/>
      </rPr>
      <t>丝杆导程</t>
    </r>
    <r>
      <rPr>
        <sz val="11"/>
        <color theme="1"/>
        <rFont val="Tahoma"/>
        <family val="2"/>
      </rPr>
      <t>Bp(mm)</t>
    </r>
    <phoneticPr fontId="4" type="noConversion"/>
  </si>
  <si>
    <r>
      <t>6</t>
    </r>
    <r>
      <rPr>
        <sz val="11"/>
        <color theme="1"/>
        <rFont val="宋体"/>
        <family val="3"/>
        <charset val="134"/>
      </rPr>
      <t>，丝杆型号</t>
    </r>
    <phoneticPr fontId="4" type="noConversion"/>
  </si>
  <si>
    <t>丝杆型号</t>
    <phoneticPr fontId="4" type="noConversion"/>
  </si>
  <si>
    <t>查厂家样本</t>
    <phoneticPr fontId="4" type="noConversion"/>
  </si>
  <si>
    <t>BLW 2020-3.6</t>
    <phoneticPr fontId="4" type="noConversion"/>
  </si>
  <si>
    <t>螺母初选型号</t>
    <phoneticPr fontId="4" type="noConversion"/>
  </si>
  <si>
    <r>
      <rPr>
        <sz val="11"/>
        <color theme="1"/>
        <rFont val="宋体"/>
        <family val="3"/>
        <charset val="134"/>
      </rPr>
      <t>螺母额定动载荷</t>
    </r>
    <r>
      <rPr>
        <sz val="11"/>
        <color theme="1"/>
        <rFont val="Tahoma"/>
        <family val="2"/>
      </rPr>
      <t>Ca(kN)</t>
    </r>
    <phoneticPr fontId="4" type="noConversion"/>
  </si>
  <si>
    <r>
      <rPr>
        <sz val="11"/>
        <color theme="1"/>
        <rFont val="宋体"/>
        <family val="3"/>
        <charset val="134"/>
      </rPr>
      <t>螺母额定静载荷</t>
    </r>
    <r>
      <rPr>
        <sz val="11"/>
        <color theme="1"/>
        <rFont val="Tahoma"/>
        <family val="2"/>
      </rPr>
      <t>Ca0(kN)</t>
    </r>
    <phoneticPr fontId="4" type="noConversion"/>
  </si>
  <si>
    <t>机器类型</t>
  </si>
  <si>
    <t>负载条件</t>
  </si>
  <si>
    <t>fs最小值</t>
  </si>
  <si>
    <t>普通机械</t>
  </si>
  <si>
    <t>无冲击振动时</t>
  </si>
  <si>
    <t>1.0--1.3</t>
  </si>
  <si>
    <t>有冲击振动时</t>
  </si>
  <si>
    <t>2.0--3.0</t>
  </si>
  <si>
    <t>机床</t>
  </si>
  <si>
    <t>1.0--1.5</t>
  </si>
  <si>
    <t>2.5--7.0</t>
  </si>
  <si>
    <r>
      <rPr>
        <sz val="11"/>
        <color theme="1"/>
        <rFont val="宋体"/>
        <family val="3"/>
        <charset val="134"/>
      </rPr>
      <t>表</t>
    </r>
    <r>
      <rPr>
        <sz val="11"/>
        <color theme="1"/>
        <rFont val="Tahoma"/>
        <family val="2"/>
      </rPr>
      <t xml:space="preserve">5 </t>
    </r>
    <r>
      <rPr>
        <sz val="11"/>
        <color theme="1"/>
        <rFont val="宋体"/>
        <family val="3"/>
        <charset val="134"/>
      </rPr>
      <t>螺母静安全系数</t>
    </r>
    <r>
      <rPr>
        <sz val="11"/>
        <color theme="1"/>
        <rFont val="Tahoma"/>
        <family val="2"/>
      </rPr>
      <t>fs</t>
    </r>
    <phoneticPr fontId="4" type="noConversion"/>
  </si>
  <si>
    <t>螺母静安全系数</t>
    <phoneticPr fontId="4" type="noConversion"/>
  </si>
  <si>
    <r>
      <rPr>
        <sz val="11"/>
        <color theme="1"/>
        <rFont val="宋体"/>
        <family val="3"/>
        <charset val="134"/>
      </rPr>
      <t>表</t>
    </r>
    <r>
      <rPr>
        <sz val="11"/>
        <color theme="1"/>
        <rFont val="Tahoma"/>
        <family val="2"/>
      </rPr>
      <t>5</t>
    </r>
    <phoneticPr fontId="4" type="noConversion"/>
  </si>
  <si>
    <r>
      <rPr>
        <sz val="11"/>
        <color theme="1"/>
        <rFont val="宋体"/>
        <family val="3"/>
        <charset val="134"/>
      </rPr>
      <t>螺母容许轴向载荷</t>
    </r>
    <r>
      <rPr>
        <sz val="11"/>
        <color theme="1"/>
        <rFont val="Tahoma"/>
        <family val="2"/>
      </rPr>
      <t>[C](N)</t>
    </r>
    <phoneticPr fontId="4" type="noConversion"/>
  </si>
  <si>
    <r>
      <t>7</t>
    </r>
    <r>
      <rPr>
        <sz val="11"/>
        <color theme="1"/>
        <rFont val="宋体"/>
        <family val="3"/>
        <charset val="134"/>
      </rPr>
      <t>，螺母初选与校核</t>
    </r>
    <phoneticPr fontId="4" type="noConversion"/>
  </si>
  <si>
    <r>
      <t>8</t>
    </r>
    <r>
      <rPr>
        <sz val="11"/>
        <color theme="1"/>
        <rFont val="宋体"/>
        <family val="3"/>
        <charset val="134"/>
      </rPr>
      <t>，螺母寿命计算</t>
    </r>
    <phoneticPr fontId="4" type="noConversion"/>
  </si>
  <si>
    <r>
      <rPr>
        <sz val="11"/>
        <color theme="1"/>
        <rFont val="宋体"/>
        <family val="3"/>
        <charset val="134"/>
      </rPr>
      <t>去路平均负载</t>
    </r>
    <r>
      <rPr>
        <sz val="11"/>
        <color theme="1"/>
        <rFont val="Tahoma"/>
        <family val="2"/>
      </rPr>
      <t>Fm1</t>
    </r>
    <phoneticPr fontId="4" type="noConversion"/>
  </si>
  <si>
    <r>
      <rPr>
        <sz val="11"/>
        <color theme="1"/>
        <rFont val="宋体"/>
        <family val="3"/>
        <charset val="134"/>
      </rPr>
      <t>返程平均负载</t>
    </r>
    <r>
      <rPr>
        <sz val="11"/>
        <color theme="1"/>
        <rFont val="Tahoma"/>
        <family val="2"/>
      </rPr>
      <t>Fm2</t>
    </r>
    <phoneticPr fontId="4" type="noConversion"/>
  </si>
  <si>
    <r>
      <rPr>
        <sz val="11"/>
        <color theme="1"/>
        <rFont val="宋体"/>
        <family val="3"/>
        <charset val="134"/>
      </rPr>
      <t>取平均负载较大值</t>
    </r>
    <r>
      <rPr>
        <sz val="11"/>
        <color theme="1"/>
        <rFont val="Tahoma"/>
        <family val="2"/>
      </rPr>
      <t>Fm</t>
    </r>
    <phoneticPr fontId="4" type="noConversion"/>
  </si>
  <si>
    <r>
      <rPr>
        <sz val="11"/>
        <color theme="1"/>
        <rFont val="宋体"/>
        <family val="3"/>
        <charset val="134"/>
      </rPr>
      <t>负载系数</t>
    </r>
    <r>
      <rPr>
        <sz val="11"/>
        <color theme="1"/>
        <rFont val="Tahoma"/>
        <family val="2"/>
      </rPr>
      <t>fw</t>
    </r>
    <phoneticPr fontId="4" type="noConversion"/>
  </si>
  <si>
    <r>
      <rPr>
        <sz val="11"/>
        <color theme="1"/>
        <rFont val="宋体"/>
        <family val="3"/>
        <charset val="134"/>
      </rPr>
      <t>额定转数寿命</t>
    </r>
    <r>
      <rPr>
        <sz val="11"/>
        <color theme="1"/>
        <rFont val="Tahoma"/>
        <family val="2"/>
      </rPr>
      <t>Lr(</t>
    </r>
    <r>
      <rPr>
        <sz val="11"/>
        <color theme="1"/>
        <rFont val="宋体"/>
        <family val="3"/>
        <charset val="134"/>
      </rPr>
      <t>转</t>
    </r>
    <r>
      <rPr>
        <sz val="11"/>
        <color theme="1"/>
        <rFont val="Tahoma"/>
        <family val="2"/>
      </rPr>
      <t>)</t>
    </r>
    <phoneticPr fontId="4" type="noConversion"/>
  </si>
  <si>
    <r>
      <t>Lr=(Ca/(fw*Fm))</t>
    </r>
    <r>
      <rPr>
        <vertAlign val="superscript"/>
        <sz val="12"/>
        <color theme="1"/>
        <rFont val="宋体"/>
        <family val="3"/>
        <charset val="134"/>
      </rPr>
      <t>3</t>
    </r>
    <r>
      <rPr>
        <sz val="11"/>
        <color theme="1"/>
        <rFont val="宋体"/>
        <family val="3"/>
        <charset val="134"/>
      </rPr>
      <t>*10</t>
    </r>
    <r>
      <rPr>
        <vertAlign val="superscript"/>
        <sz val="12"/>
        <color theme="1"/>
        <rFont val="宋体"/>
        <family val="3"/>
        <charset val="134"/>
      </rPr>
      <t>6</t>
    </r>
    <phoneticPr fontId="4" type="noConversion"/>
  </si>
  <si>
    <r>
      <rPr>
        <sz val="11"/>
        <color theme="1"/>
        <rFont val="宋体"/>
        <family val="3"/>
        <charset val="134"/>
      </rPr>
      <t>平均转速</t>
    </r>
    <r>
      <rPr>
        <sz val="11"/>
        <color theme="1"/>
        <rFont val="Tahoma"/>
        <family val="2"/>
      </rPr>
      <t>n(r/min)</t>
    </r>
    <phoneticPr fontId="4" type="noConversion"/>
  </si>
  <si>
    <t>去路加速时拉力F1(N)</t>
    <phoneticPr fontId="4" type="noConversion"/>
  </si>
  <si>
    <t>去路等速时拉力F2(N)</t>
    <phoneticPr fontId="4" type="noConversion"/>
  </si>
  <si>
    <t>去路减速时拉力F3(N)</t>
    <phoneticPr fontId="4" type="noConversion"/>
  </si>
  <si>
    <t>返程加速时拉力F5(N)</t>
    <phoneticPr fontId="4" type="noConversion"/>
  </si>
  <si>
    <t>返程等速时拉力F6(N)</t>
    <phoneticPr fontId="4" type="noConversion"/>
  </si>
  <si>
    <t>返程减速时拉力_x000D_F7(N)</t>
    <phoneticPr fontId="4" type="noConversion"/>
  </si>
  <si>
    <t>匀速运动距离L2=L6(mm)</t>
    <phoneticPr fontId="4" type="noConversion"/>
  </si>
  <si>
    <t>去返加速距离L1=L3=L5=L7(mm)</t>
    <phoneticPr fontId="4" type="noConversion"/>
  </si>
  <si>
    <t>mg(sinθ+μcosθ)+ma+f</t>
    <phoneticPr fontId="4" type="noConversion"/>
  </si>
  <si>
    <t>mg(sinθ+μcosθ)+ma+f</t>
    <phoneticPr fontId="4" type="noConversion"/>
  </si>
  <si>
    <t>mg(sinθ+μcosθ)+f</t>
    <phoneticPr fontId="4" type="noConversion"/>
  </si>
  <si>
    <t>mg(sinθ+μcosθ)-ma+f</t>
    <phoneticPr fontId="4" type="noConversion"/>
  </si>
  <si>
    <t>mg(sinθ+μcosθ)+ma-f</t>
    <phoneticPr fontId="4" type="noConversion"/>
  </si>
  <si>
    <t>mg(sinθ+μcosθ)-f</t>
    <phoneticPr fontId="4" type="noConversion"/>
  </si>
  <si>
    <t>mg(sinθ+μcosθ)-ma-f</t>
    <phoneticPr fontId="4" type="noConversion"/>
  </si>
  <si>
    <r>
      <rPr>
        <sz val="11"/>
        <color theme="1"/>
        <rFont val="宋体"/>
        <family val="3"/>
        <charset val="134"/>
      </rPr>
      <t>额定时间寿命</t>
    </r>
    <r>
      <rPr>
        <sz val="11"/>
        <color theme="1"/>
        <rFont val="Tahoma"/>
        <family val="2"/>
      </rPr>
      <t>[Lh](h)</t>
    </r>
    <phoneticPr fontId="4" type="noConversion"/>
  </si>
  <si>
    <t>WTF2040-2</t>
    <phoneticPr fontId="4" type="noConversion"/>
  </si>
  <si>
    <t>螺母型号</t>
    <phoneticPr fontId="4" type="noConversion"/>
  </si>
  <si>
    <r>
      <rPr>
        <sz val="11"/>
        <color theme="1"/>
        <rFont val="宋体"/>
        <family val="3"/>
        <charset val="134"/>
      </rPr>
      <t>临界危险转速</t>
    </r>
    <r>
      <rPr>
        <sz val="11"/>
        <color theme="1"/>
        <rFont val="Tahoma"/>
        <family val="2"/>
      </rPr>
      <t>[N1](r/min)</t>
    </r>
    <phoneticPr fontId="4" type="noConversion"/>
  </si>
  <si>
    <t>支撑—支撑</t>
  </si>
  <si>
    <r>
      <t>9</t>
    </r>
    <r>
      <rPr>
        <sz val="11"/>
        <color theme="1"/>
        <rFont val="宋体"/>
        <family val="3"/>
        <charset val="134"/>
      </rPr>
      <t>，伺服电机选型</t>
    </r>
    <phoneticPr fontId="4" type="noConversion"/>
  </si>
  <si>
    <r>
      <rPr>
        <sz val="11"/>
        <color theme="1"/>
        <rFont val="宋体"/>
        <family val="3"/>
        <charset val="134"/>
      </rPr>
      <t>见《步进伺服电机选型向导》</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</si>
  <si>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 xml:space="preserve">，滚珠丝杆具有以下特点：
摩擦系数小，驱动扭矩小，效率高；
能保证高精度；
能微量进给；
没有无效行程、高刚性；
能高速进给。
</t>
    </r>
    <r>
      <rPr>
        <sz val="11"/>
        <color theme="1"/>
        <rFont val="Tahoma"/>
        <family val="2"/>
      </rPr>
      <t xml:space="preserve">    2</t>
    </r>
    <r>
      <rPr>
        <sz val="11"/>
        <color theme="1"/>
        <rFont val="宋体"/>
        <family val="3"/>
        <charset val="134"/>
      </rPr>
      <t>，对丝杆选择主要考虑定位精度、极限转速、额定拉力；对螺母配对选择主要考虑额定静载荷和使用寿命</t>
    </r>
    <r>
      <rPr>
        <sz val="11"/>
        <color theme="1"/>
        <rFont val="Tahoma"/>
        <family val="2"/>
      </rPr>
      <t>(</t>
    </r>
    <r>
      <rPr>
        <sz val="11"/>
        <color theme="1"/>
        <rFont val="宋体"/>
        <family val="3"/>
        <charset val="134"/>
      </rPr>
      <t>动载荷</t>
    </r>
    <r>
      <rPr>
        <sz val="11"/>
        <color theme="1"/>
        <rFont val="Tahoma"/>
        <family val="2"/>
      </rPr>
      <t>)</t>
    </r>
    <r>
      <rPr>
        <sz val="11"/>
        <color theme="1"/>
        <rFont val="宋体"/>
        <family val="3"/>
        <charset val="134"/>
      </rPr>
      <t>。</t>
    </r>
    <phoneticPr fontId="4" type="noConversion"/>
  </si>
  <si>
    <r>
      <rPr>
        <sz val="12"/>
        <color theme="1"/>
        <rFont val="宋体"/>
        <family val="3"/>
        <charset val="134"/>
      </rPr>
      <t>文档信息
编写：图惜
参考：《丝杆选型计算》</t>
    </r>
    <r>
      <rPr>
        <sz val="12"/>
        <color theme="1"/>
        <rFont val="Tahoma"/>
        <family val="2"/>
      </rPr>
      <t>——(</t>
    </r>
    <r>
      <rPr>
        <sz val="12"/>
        <color theme="1"/>
        <rFont val="宋体"/>
        <family val="3"/>
        <charset val="134"/>
      </rPr>
      <t>前桥教育</t>
    </r>
    <r>
      <rPr>
        <sz val="12"/>
        <color theme="1"/>
        <rFont val="Tahoma"/>
        <family val="2"/>
      </rPr>
      <t xml:space="preserve">) </t>
    </r>
    <r>
      <rPr>
        <sz val="12"/>
        <color theme="1"/>
        <rFont val="宋体"/>
        <family val="3"/>
        <charset val="134"/>
      </rPr>
      <t xml:space="preserve">宣言
</t>
    </r>
    <r>
      <rPr>
        <sz val="12"/>
        <color theme="1"/>
        <rFont val="Tahoma"/>
        <family val="2"/>
      </rPr>
      <t xml:space="preserve">          </t>
    </r>
    <r>
      <rPr>
        <sz val="12"/>
        <color theme="1"/>
        <rFont val="宋体"/>
        <family val="3"/>
        <charset val="134"/>
      </rPr>
      <t>《</t>
    </r>
    <r>
      <rPr>
        <sz val="12"/>
        <color theme="1"/>
        <rFont val="Tahoma"/>
        <family val="2"/>
      </rPr>
      <t>THK</t>
    </r>
    <r>
      <rPr>
        <sz val="12"/>
        <color theme="1"/>
        <rFont val="宋体"/>
        <family val="3"/>
        <charset val="134"/>
      </rPr>
      <t>滚珠丝杆选型实例》</t>
    </r>
    <r>
      <rPr>
        <sz val="12"/>
        <color theme="1"/>
        <rFont val="Tahoma"/>
        <family val="2"/>
      </rPr>
      <t xml:space="preserve">                                                                                                       
                                                                              2018.9.10   </t>
    </r>
    <phoneticPr fontId="4" type="noConversion"/>
  </si>
  <si>
    <r>
      <rPr>
        <sz val="11"/>
        <color theme="1"/>
        <rFont val="宋体"/>
        <family val="3"/>
        <charset val="134"/>
      </rPr>
      <t>表6</t>
    </r>
    <r>
      <rPr>
        <sz val="11"/>
        <color theme="1"/>
        <rFont val="Tahoma"/>
        <family val="2"/>
      </rPr>
      <t xml:space="preserve"> THK</t>
    </r>
    <r>
      <rPr>
        <sz val="11"/>
        <color theme="1"/>
        <rFont val="宋体"/>
        <family val="3"/>
        <charset val="134"/>
      </rPr>
      <t>丝杆尺寸截图</t>
    </r>
    <phoneticPr fontId="4" type="noConversion"/>
  </si>
  <si>
    <t>表6</t>
    <phoneticPr fontId="4" type="noConversion"/>
  </si>
  <si>
    <r>
      <rPr>
        <sz val="11"/>
        <color theme="1"/>
        <rFont val="宋体"/>
        <family val="3"/>
        <charset val="134"/>
      </rPr>
      <t>表</t>
    </r>
    <r>
      <rPr>
        <sz val="11"/>
        <color theme="1"/>
        <rFont val="Tahoma"/>
        <family val="2"/>
      </rPr>
      <t>4 THK</t>
    </r>
    <r>
      <rPr>
        <sz val="11"/>
        <color theme="1"/>
        <rFont val="宋体"/>
        <family val="3"/>
        <charset val="134"/>
      </rPr>
      <t>丝杆螺母负载系数</t>
    </r>
    <r>
      <rPr>
        <sz val="11"/>
        <color theme="1"/>
        <rFont val="Tahoma"/>
        <family val="2"/>
      </rPr>
      <t>fw</t>
    </r>
    <phoneticPr fontId="4" type="noConversion"/>
  </si>
  <si>
    <t>已知条件</t>
    <phoneticPr fontId="4" type="noConversion"/>
  </si>
  <si>
    <r>
      <rPr>
        <sz val="11"/>
        <color theme="1"/>
        <rFont val="宋体"/>
        <family val="3"/>
        <charset val="134"/>
      </rPr>
      <t>工位停顿时间</t>
    </r>
    <r>
      <rPr>
        <sz val="11"/>
        <color theme="1"/>
        <rFont val="Tahoma"/>
        <family val="2"/>
      </rPr>
      <t>(s)</t>
    </r>
    <phoneticPr fontId="4" type="noConversion"/>
  </si>
  <si>
    <t>分度时间(s)</t>
    <phoneticPr fontId="4" type="noConversion"/>
  </si>
  <si>
    <r>
      <rPr>
        <sz val="11"/>
        <color theme="1"/>
        <rFont val="宋体"/>
        <family val="3"/>
        <charset val="134"/>
      </rPr>
      <t>最大分度角</t>
    </r>
    <r>
      <rPr>
        <sz val="11"/>
        <color theme="1"/>
        <rFont val="Tahoma"/>
        <family val="2"/>
      </rPr>
      <t>(°)</t>
    </r>
    <phoneticPr fontId="4" type="noConversion"/>
  </si>
  <si>
    <r>
      <t>表</t>
    </r>
    <r>
      <rPr>
        <sz val="11"/>
        <rFont val="Tahoma"/>
        <family val="2"/>
      </rPr>
      <t>3</t>
    </r>
    <phoneticPr fontId="4" type="noConversion"/>
  </si>
  <si>
    <t>凸轮分割器选型向导合集(以三共和正名凸轮分割器为例)</t>
    <phoneticPr fontId="4" type="noConversion"/>
  </si>
  <si>
    <r>
      <rPr>
        <sz val="11"/>
        <color theme="1"/>
        <rFont val="宋体"/>
        <family val="3"/>
        <charset val="134"/>
      </rPr>
      <t>表</t>
    </r>
    <r>
      <rPr>
        <sz val="11"/>
        <color theme="1"/>
        <rFont val="Tahoma"/>
        <family val="2"/>
      </rPr>
      <t xml:space="preserve">1 </t>
    </r>
    <r>
      <rPr>
        <sz val="11"/>
        <color theme="1"/>
        <rFont val="宋体"/>
        <family val="3"/>
        <charset val="134"/>
      </rPr>
      <t>三共凸轮分割器工位分割数和分度角</t>
    </r>
    <phoneticPr fontId="4" type="noConversion"/>
  </si>
  <si>
    <t>正名凸轮分割器工位分割数</t>
    <phoneticPr fontId="4" type="noConversion"/>
  </si>
  <si>
    <r>
      <rPr>
        <sz val="11"/>
        <color theme="1"/>
        <rFont val="宋体"/>
        <family val="3"/>
        <charset val="134"/>
      </rPr>
      <t>最大加速度</t>
    </r>
    <r>
      <rPr>
        <sz val="11"/>
        <color theme="1"/>
        <rFont val="Tahoma"/>
        <family val="2"/>
      </rPr>
      <t>Am</t>
    </r>
    <phoneticPr fontId="4" type="noConversion"/>
  </si>
  <si>
    <t>凸轮曲线类型</t>
    <phoneticPr fontId="4" type="noConversion"/>
  </si>
  <si>
    <t>修正正弦曲线</t>
  </si>
  <si>
    <r>
      <t>输出轴最大角加速度α(rad/s</t>
    </r>
    <r>
      <rPr>
        <vertAlign val="superscript"/>
        <sz val="12"/>
        <color theme="1"/>
        <rFont val="宋体"/>
        <family val="3"/>
        <charset val="134"/>
      </rPr>
      <t>2</t>
    </r>
    <r>
      <rPr>
        <sz val="11"/>
        <color theme="1"/>
        <rFont val="宋体"/>
        <family val="3"/>
        <charset val="134"/>
      </rPr>
      <t>)</t>
    </r>
    <phoneticPr fontId="4" type="noConversion"/>
  </si>
  <si>
    <r>
      <rPr>
        <sz val="11"/>
        <color theme="1"/>
        <rFont val="宋体"/>
        <family val="3"/>
        <charset val="134"/>
      </rPr>
      <t>选择分度角</t>
    </r>
    <r>
      <rPr>
        <sz val="11"/>
        <color theme="1"/>
        <rFont val="Tahoma"/>
        <family val="2"/>
      </rPr>
      <t>θ(°)</t>
    </r>
    <phoneticPr fontId="4" type="noConversion"/>
  </si>
  <si>
    <r>
      <t>72</t>
    </r>
    <r>
      <rPr>
        <sz val="11"/>
        <color theme="1"/>
        <rFont val="宋体"/>
        <family val="3"/>
        <charset val="134"/>
        <scheme val="minor"/>
      </rPr>
      <t>π</t>
    </r>
    <r>
      <rPr>
        <sz val="11"/>
        <color theme="1"/>
        <rFont val="Tahoma"/>
        <family val="2"/>
      </rPr>
      <t>Am/s*(n0/θ)</t>
    </r>
    <r>
      <rPr>
        <vertAlign val="superscript"/>
        <sz val="11"/>
        <color theme="1"/>
        <rFont val="宋体"/>
        <family val="3"/>
        <charset val="134"/>
      </rPr>
      <t>2</t>
    </r>
    <phoneticPr fontId="4" type="noConversion"/>
  </si>
  <si>
    <t>工位数</t>
    <phoneticPr fontId="4" type="noConversion"/>
  </si>
  <si>
    <t>在SW中查惯性张量</t>
    <phoneticPr fontId="4" type="noConversion"/>
  </si>
  <si>
    <t>多用修正正弦曲线</t>
    <phoneticPr fontId="4" type="noConversion"/>
  </si>
  <si>
    <t>建议取1.5</t>
    <phoneticPr fontId="4" type="noConversion"/>
  </si>
  <si>
    <r>
      <rPr>
        <sz val="11"/>
        <color theme="1"/>
        <rFont val="宋体"/>
        <family val="3"/>
        <charset val="134"/>
      </rPr>
      <t>最大扭力系数</t>
    </r>
    <r>
      <rPr>
        <sz val="11"/>
        <color theme="1"/>
        <rFont val="Tahoma"/>
        <family val="2"/>
      </rPr>
      <t>Qm</t>
    </r>
    <phoneticPr fontId="4" type="noConversion"/>
  </si>
  <si>
    <t>转矩安全系数K</t>
    <phoneticPr fontId="4" type="noConversion"/>
  </si>
  <si>
    <t>凸轮分割器规格</t>
    <phoneticPr fontId="4" type="noConversion"/>
  </si>
  <si>
    <t>凸轮分割器输出转矩</t>
    <phoneticPr fontId="4" type="noConversion"/>
  </si>
  <si>
    <t>6D</t>
    <phoneticPr fontId="4" type="noConversion"/>
  </si>
  <si>
    <r>
      <rPr>
        <sz val="11"/>
        <color theme="1"/>
        <rFont val="宋体"/>
        <family val="3"/>
        <charset val="134"/>
      </rPr>
      <t>凸轮输入轴转矩</t>
    </r>
    <r>
      <rPr>
        <sz val="11"/>
        <color theme="1"/>
        <rFont val="Tahoma"/>
        <family val="2"/>
      </rPr>
      <t>Tc(N.m)</t>
    </r>
    <phoneticPr fontId="4" type="noConversion"/>
  </si>
  <si>
    <t>Tc=Qm(360/s/θ)Te</t>
    <phoneticPr fontId="4" type="noConversion"/>
  </si>
  <si>
    <r>
      <t>3</t>
    </r>
    <r>
      <rPr>
        <sz val="11"/>
        <color theme="1"/>
        <rFont val="宋体"/>
        <family val="3"/>
        <charset val="134"/>
      </rPr>
      <t>，转矩与选型</t>
    </r>
    <phoneticPr fontId="4" type="noConversion"/>
  </si>
  <si>
    <r>
      <t>2</t>
    </r>
    <r>
      <rPr>
        <sz val="11"/>
        <color theme="1"/>
        <rFont val="宋体"/>
        <family val="3"/>
        <charset val="134"/>
      </rPr>
      <t>，确定分度时间和分度角</t>
    </r>
    <phoneticPr fontId="4" type="noConversion"/>
  </si>
  <si>
    <t>间接传动时</t>
    <phoneticPr fontId="4" type="noConversion"/>
  </si>
  <si>
    <t>直连负载时</t>
    <phoneticPr fontId="4" type="noConversion"/>
  </si>
  <si>
    <t>要求产品工位数</t>
    <phoneticPr fontId="4" type="noConversion"/>
  </si>
  <si>
    <t>实际产品工位数</t>
    <phoneticPr fontId="4" type="noConversion"/>
  </si>
  <si>
    <r>
      <rPr>
        <sz val="11"/>
        <color theme="1"/>
        <rFont val="宋体"/>
        <family val="3"/>
        <charset val="134"/>
      </rPr>
      <t>生产节拍</t>
    </r>
    <r>
      <rPr>
        <sz val="11"/>
        <color theme="1"/>
        <rFont val="Tahoma"/>
        <family val="2"/>
      </rPr>
      <t>(</t>
    </r>
    <r>
      <rPr>
        <sz val="11"/>
        <color theme="1"/>
        <rFont val="宋体"/>
        <family val="3"/>
        <charset val="134"/>
      </rPr>
      <t>时间</t>
    </r>
    <r>
      <rPr>
        <sz val="11"/>
        <color theme="1"/>
        <rFont val="Tahoma"/>
        <family val="2"/>
      </rPr>
      <t>/</t>
    </r>
    <r>
      <rPr>
        <sz val="11"/>
        <color theme="1"/>
        <rFont val="宋体"/>
        <family val="3"/>
        <charset val="134"/>
      </rPr>
      <t>生产量</t>
    </r>
    <r>
      <rPr>
        <sz val="11"/>
        <color theme="1"/>
        <rFont val="Tahoma"/>
        <family val="2"/>
      </rPr>
      <t>)</t>
    </r>
    <phoneticPr fontId="4" type="noConversion"/>
  </si>
  <si>
    <r>
      <rPr>
        <sz val="11"/>
        <color theme="1"/>
        <rFont val="宋体"/>
        <family val="3"/>
        <charset val="134"/>
      </rPr>
      <t>在</t>
    </r>
    <r>
      <rPr>
        <sz val="11"/>
        <color theme="1"/>
        <rFont val="Tahoma"/>
        <family val="2"/>
      </rPr>
      <t>SW</t>
    </r>
    <r>
      <rPr>
        <sz val="11"/>
        <color theme="1"/>
        <rFont val="宋体"/>
        <family val="3"/>
        <charset val="134"/>
      </rPr>
      <t>中查惯性张量</t>
    </r>
    <phoneticPr fontId="4" type="noConversion"/>
  </si>
  <si>
    <r>
      <rPr>
        <sz val="11"/>
        <color theme="1"/>
        <rFont val="宋体"/>
        <family val="3"/>
        <charset val="134"/>
      </rPr>
      <t>在</t>
    </r>
    <r>
      <rPr>
        <sz val="11"/>
        <color theme="1"/>
        <rFont val="Tahoma"/>
        <family val="2"/>
      </rPr>
      <t>SW</t>
    </r>
    <r>
      <rPr>
        <sz val="11"/>
        <color theme="1"/>
        <rFont val="宋体"/>
        <family val="3"/>
        <charset val="134"/>
      </rPr>
      <t>或《转动惯量》中查询</t>
    </r>
    <phoneticPr fontId="4" type="noConversion"/>
  </si>
  <si>
    <t>转换到凸轮分割器输出轴惯量J(kg.m2)</t>
    <phoneticPr fontId="4" type="noConversion"/>
  </si>
  <si>
    <r>
      <rPr>
        <sz val="11"/>
        <color theme="1"/>
        <rFont val="宋体"/>
        <family val="3"/>
        <charset val="134"/>
      </rPr>
      <t>小齿轮惯量</t>
    </r>
    <r>
      <rPr>
        <sz val="11"/>
        <color theme="1"/>
        <rFont val="Tahoma"/>
        <family val="2"/>
      </rPr>
      <t>J1(kg.m</t>
    </r>
    <r>
      <rPr>
        <vertAlign val="superscript"/>
        <sz val="12"/>
        <color theme="1"/>
        <rFont val="Tahoma"/>
        <family val="2"/>
      </rPr>
      <t>2</t>
    </r>
    <r>
      <rPr>
        <sz val="11"/>
        <color theme="1"/>
        <rFont val="Tahoma"/>
        <family val="2"/>
      </rPr>
      <t>)</t>
    </r>
    <phoneticPr fontId="4" type="noConversion"/>
  </si>
  <si>
    <r>
      <rPr>
        <sz val="11"/>
        <color theme="1"/>
        <rFont val="宋体"/>
        <family val="3"/>
        <charset val="134"/>
      </rPr>
      <t>负载</t>
    </r>
    <r>
      <rPr>
        <sz val="11"/>
        <color theme="1"/>
        <rFont val="Tahoma"/>
        <family val="2"/>
      </rPr>
      <t>(</t>
    </r>
    <r>
      <rPr>
        <sz val="11"/>
        <color theme="1"/>
        <rFont val="宋体"/>
        <family val="3"/>
        <charset val="134"/>
      </rPr>
      <t>含大齿轮</t>
    </r>
    <r>
      <rPr>
        <sz val="11"/>
        <color theme="1"/>
        <rFont val="Tahoma"/>
        <family val="2"/>
      </rPr>
      <t>)</t>
    </r>
    <r>
      <rPr>
        <sz val="11"/>
        <color theme="1"/>
        <rFont val="宋体"/>
        <family val="3"/>
        <charset val="134"/>
      </rPr>
      <t>惯量</t>
    </r>
    <r>
      <rPr>
        <sz val="11"/>
        <color theme="1"/>
        <rFont val="Tahoma"/>
        <family val="2"/>
      </rPr>
      <t>J2(kg.m2)</t>
    </r>
    <phoneticPr fontId="4" type="noConversion"/>
  </si>
  <si>
    <r>
      <t>J=J1+J2/i</t>
    </r>
    <r>
      <rPr>
        <vertAlign val="superscript"/>
        <sz val="12"/>
        <color theme="1"/>
        <rFont val="Tahoma"/>
        <family val="2"/>
      </rPr>
      <t>2</t>
    </r>
    <phoneticPr fontId="4" type="noConversion"/>
  </si>
  <si>
    <r>
      <rPr>
        <sz val="11"/>
        <color theme="1"/>
        <rFont val="宋体"/>
        <family val="3"/>
        <charset val="134"/>
      </rPr>
      <t>分割器输入轴转速</t>
    </r>
    <r>
      <rPr>
        <sz val="11"/>
        <color theme="1"/>
        <rFont val="Tahoma"/>
        <family val="2"/>
      </rPr>
      <t>n0(r/s)</t>
    </r>
    <phoneticPr fontId="4" type="noConversion"/>
  </si>
  <si>
    <r>
      <rPr>
        <sz val="11"/>
        <color theme="1"/>
        <rFont val="宋体"/>
        <family val="3"/>
        <charset val="134"/>
      </rPr>
      <t>负载</t>
    </r>
    <r>
      <rPr>
        <sz val="11"/>
        <color theme="1"/>
        <rFont val="Tahoma"/>
        <family val="2"/>
      </rPr>
      <t>(</t>
    </r>
    <r>
      <rPr>
        <sz val="11"/>
        <color theme="1"/>
        <rFont val="宋体"/>
        <family val="3"/>
        <charset val="134"/>
      </rPr>
      <t>含转盘</t>
    </r>
    <r>
      <rPr>
        <sz val="11"/>
        <color theme="1"/>
        <rFont val="Tahoma"/>
        <family val="2"/>
      </rPr>
      <t>)</t>
    </r>
    <r>
      <rPr>
        <sz val="11"/>
        <color theme="1"/>
        <rFont val="宋体"/>
        <family val="3"/>
        <charset val="134"/>
      </rPr>
      <t>惯量</t>
    </r>
    <r>
      <rPr>
        <sz val="11"/>
        <color theme="1"/>
        <rFont val="Tahoma"/>
        <family val="2"/>
      </rPr>
      <t>J(kg.m</t>
    </r>
    <r>
      <rPr>
        <vertAlign val="superscript"/>
        <sz val="12"/>
        <color theme="1"/>
        <rFont val="Tahoma"/>
        <family val="2"/>
      </rPr>
      <t>2</t>
    </r>
    <r>
      <rPr>
        <sz val="11"/>
        <color theme="1"/>
        <rFont val="Tahoma"/>
        <family val="2"/>
      </rPr>
      <t>)</t>
    </r>
    <phoneticPr fontId="4" type="noConversion"/>
  </si>
  <si>
    <t>同步带/链传动时</t>
    <phoneticPr fontId="4" type="noConversion"/>
  </si>
  <si>
    <r>
      <rPr>
        <sz val="11"/>
        <color theme="1"/>
        <rFont val="宋体"/>
        <family val="3"/>
        <charset val="134"/>
      </rPr>
      <t>传送带</t>
    </r>
    <r>
      <rPr>
        <sz val="11"/>
        <color theme="1"/>
        <rFont val="Tahoma"/>
        <family val="2"/>
      </rPr>
      <t>/</t>
    </r>
    <r>
      <rPr>
        <sz val="11"/>
        <color theme="1"/>
        <rFont val="宋体"/>
        <family val="3"/>
        <charset val="134"/>
      </rPr>
      <t>链步距</t>
    </r>
    <r>
      <rPr>
        <sz val="11"/>
        <color theme="1"/>
        <rFont val="Tahoma"/>
        <family val="2"/>
      </rPr>
      <t>Pc(mm)</t>
    </r>
    <phoneticPr fontId="4" type="noConversion"/>
  </si>
  <si>
    <r>
      <rPr>
        <sz val="11"/>
        <color theme="1"/>
        <rFont val="宋体"/>
        <family val="3"/>
        <charset val="134"/>
      </rPr>
      <t>分割器输出减速比</t>
    </r>
    <r>
      <rPr>
        <sz val="11"/>
        <color theme="1"/>
        <rFont val="Tahoma"/>
        <family val="2"/>
      </rPr>
      <t>i(Z2/Z1</t>
    </r>
    <r>
      <rPr>
        <sz val="11"/>
        <color theme="1"/>
        <rFont val="宋体"/>
        <family val="3"/>
        <charset val="134"/>
      </rPr>
      <t>或</t>
    </r>
    <r>
      <rPr>
        <sz val="11"/>
        <color theme="1"/>
        <rFont val="Tahoma"/>
        <family val="2"/>
      </rPr>
      <t>d2/d1)</t>
    </r>
    <phoneticPr fontId="4" type="noConversion"/>
  </si>
  <si>
    <r>
      <rPr>
        <sz val="11"/>
        <color theme="1"/>
        <rFont val="宋体"/>
        <family val="3"/>
        <charset val="134"/>
      </rPr>
      <t>表</t>
    </r>
    <r>
      <rPr>
        <sz val="11"/>
        <color theme="1"/>
        <rFont val="Tahoma"/>
        <family val="2"/>
      </rPr>
      <t>2</t>
    </r>
    <phoneticPr fontId="4" type="noConversion"/>
  </si>
  <si>
    <r>
      <rPr>
        <sz val="11"/>
        <color theme="1"/>
        <rFont val="宋体"/>
        <family val="3"/>
        <charset val="134"/>
      </rPr>
      <t>减速机效率</t>
    </r>
    <r>
      <rPr>
        <sz val="11"/>
        <color theme="1"/>
        <rFont val="Tahoma"/>
        <family val="2"/>
      </rPr>
      <t>η0 (</t>
    </r>
    <r>
      <rPr>
        <sz val="11"/>
        <color theme="1"/>
        <rFont val="宋体"/>
        <family val="3"/>
        <charset val="134"/>
      </rPr>
      <t>直连填</t>
    </r>
    <r>
      <rPr>
        <sz val="11"/>
        <color theme="1"/>
        <rFont val="Tahoma"/>
        <family val="2"/>
      </rPr>
      <t>1)</t>
    </r>
    <phoneticPr fontId="4" type="noConversion"/>
  </si>
  <si>
    <r>
      <rPr>
        <sz val="11"/>
        <color theme="1"/>
        <rFont val="宋体"/>
        <family val="3"/>
        <charset val="134"/>
      </rPr>
      <t>带</t>
    </r>
    <r>
      <rPr>
        <sz val="11"/>
        <color theme="1"/>
        <rFont val="Tahoma"/>
        <family val="2"/>
      </rPr>
      <t>/</t>
    </r>
    <r>
      <rPr>
        <sz val="11"/>
        <color theme="1"/>
        <rFont val="宋体"/>
        <family val="3"/>
        <charset val="134"/>
      </rPr>
      <t>链传动效率</t>
    </r>
    <r>
      <rPr>
        <sz val="11"/>
        <color theme="1"/>
        <rFont val="Tahoma"/>
        <family val="2"/>
      </rPr>
      <t xml:space="preserve">η1 </t>
    </r>
    <phoneticPr fontId="4" type="noConversion"/>
  </si>
  <si>
    <r>
      <rPr>
        <sz val="11"/>
        <color theme="1"/>
        <rFont val="宋体"/>
        <family val="3"/>
        <charset val="134"/>
      </rPr>
      <t>在位工件总重量</t>
    </r>
    <r>
      <rPr>
        <sz val="11"/>
        <color theme="1"/>
        <rFont val="Tahoma"/>
        <family val="2"/>
      </rPr>
      <t>m1(kg)</t>
    </r>
    <phoneticPr fontId="4" type="noConversion"/>
  </si>
  <si>
    <r>
      <rPr>
        <sz val="11"/>
        <color theme="1"/>
        <rFont val="宋体"/>
        <family val="3"/>
        <charset val="134"/>
      </rPr>
      <t>夹具工装托盘总重量</t>
    </r>
    <r>
      <rPr>
        <sz val="11"/>
        <color theme="1"/>
        <rFont val="Tahoma"/>
        <family val="2"/>
      </rPr>
      <t>m0(kg)</t>
    </r>
    <phoneticPr fontId="4" type="noConversion"/>
  </si>
  <si>
    <r>
      <rPr>
        <sz val="11"/>
        <color theme="1"/>
        <rFont val="宋体"/>
        <family val="3"/>
        <charset val="134"/>
      </rPr>
      <t>负载总质量</t>
    </r>
    <r>
      <rPr>
        <sz val="11"/>
        <color theme="1"/>
        <rFont val="Tahoma"/>
        <family val="2"/>
      </rPr>
      <t>m(kg)</t>
    </r>
    <phoneticPr fontId="4" type="noConversion"/>
  </si>
  <si>
    <r>
      <rPr>
        <sz val="11"/>
        <color theme="1"/>
        <rFont val="宋体"/>
        <family val="3"/>
        <charset val="134"/>
      </rPr>
      <t>负载总重量</t>
    </r>
    <r>
      <rPr>
        <sz val="11"/>
        <color theme="1"/>
        <rFont val="Tahoma"/>
        <family val="2"/>
      </rPr>
      <t>m(kg)</t>
    </r>
    <phoneticPr fontId="4" type="noConversion"/>
  </si>
  <si>
    <t>多用修正正弦曲线</t>
    <phoneticPr fontId="4" type="noConversion"/>
  </si>
  <si>
    <r>
      <rPr>
        <sz val="11"/>
        <color theme="1"/>
        <rFont val="宋体"/>
        <family val="3"/>
        <charset val="134"/>
      </rPr>
      <t>表</t>
    </r>
    <r>
      <rPr>
        <sz val="11"/>
        <color theme="1"/>
        <rFont val="Tahoma"/>
        <family val="2"/>
      </rPr>
      <t>2</t>
    </r>
    <phoneticPr fontId="4" type="noConversion"/>
  </si>
  <si>
    <t>表2</t>
    <phoneticPr fontId="4" type="noConversion"/>
  </si>
  <si>
    <t>mr²/η1</t>
    <phoneticPr fontId="4" type="noConversion"/>
  </si>
  <si>
    <r>
      <rPr>
        <sz val="11"/>
        <color theme="1"/>
        <rFont val="宋体"/>
        <family val="3"/>
        <charset val="134"/>
      </rPr>
      <t>负载折算到主动轮惯量</t>
    </r>
    <r>
      <rPr>
        <sz val="11"/>
        <color theme="1"/>
        <rFont val="Tahoma"/>
        <family val="2"/>
      </rPr>
      <t>J3(kg.m²)</t>
    </r>
    <phoneticPr fontId="4" type="noConversion"/>
  </si>
  <si>
    <r>
      <rPr>
        <sz val="11"/>
        <color theme="1"/>
        <rFont val="宋体"/>
        <family val="3"/>
        <charset val="134"/>
      </rPr>
      <t>从动轮</t>
    </r>
    <r>
      <rPr>
        <sz val="11"/>
        <color theme="1"/>
        <rFont val="Tahoma"/>
        <family val="2"/>
      </rPr>
      <t>/</t>
    </r>
    <r>
      <rPr>
        <sz val="11"/>
        <color theme="1"/>
        <rFont val="宋体"/>
        <family val="3"/>
        <charset val="134"/>
      </rPr>
      <t>驱动轮减速比</t>
    </r>
    <r>
      <rPr>
        <sz val="11"/>
        <color theme="1"/>
        <rFont val="Tahoma"/>
        <family val="2"/>
      </rPr>
      <t>i</t>
    </r>
    <r>
      <rPr>
        <sz val="10"/>
        <color theme="1"/>
        <rFont val="Tahoma"/>
        <family val="2"/>
      </rPr>
      <t>(</t>
    </r>
    <r>
      <rPr>
        <sz val="10"/>
        <color theme="1"/>
        <rFont val="宋体"/>
        <family val="3"/>
        <charset val="134"/>
      </rPr>
      <t>如图</t>
    </r>
    <r>
      <rPr>
        <sz val="10"/>
        <color theme="1"/>
        <rFont val="Tahoma"/>
        <family val="2"/>
      </rPr>
      <t>Φ100/Φ200)</t>
    </r>
    <phoneticPr fontId="4" type="noConversion"/>
  </si>
  <si>
    <r>
      <rPr>
        <sz val="11"/>
        <color theme="1"/>
        <rFont val="宋体"/>
        <family val="3"/>
        <charset val="134"/>
      </rPr>
      <t>从动轮</t>
    </r>
    <r>
      <rPr>
        <sz val="11"/>
        <color theme="1"/>
        <rFont val="Tahoma"/>
        <family val="2"/>
      </rPr>
      <t>/</t>
    </r>
    <r>
      <rPr>
        <sz val="11"/>
        <color theme="1"/>
        <rFont val="宋体"/>
        <family val="3"/>
        <charset val="134"/>
      </rPr>
      <t>驱动轮减速器效率</t>
    </r>
    <r>
      <rPr>
        <sz val="11"/>
        <color theme="1"/>
        <rFont val="Tahoma"/>
        <family val="2"/>
      </rPr>
      <t xml:space="preserve">η0 </t>
    </r>
    <phoneticPr fontId="4" type="noConversion"/>
  </si>
  <si>
    <r>
      <rPr>
        <sz val="11"/>
        <color theme="1"/>
        <rFont val="宋体"/>
        <family val="3"/>
        <charset val="134"/>
      </rPr>
      <t>链</t>
    </r>
    <r>
      <rPr>
        <sz val="11"/>
        <color theme="1"/>
        <rFont val="Tahoma"/>
        <family val="2"/>
      </rPr>
      <t>/</t>
    </r>
    <r>
      <rPr>
        <sz val="11"/>
        <color theme="1"/>
        <rFont val="宋体"/>
        <family val="3"/>
        <charset val="134"/>
      </rPr>
      <t>带轮组件</t>
    </r>
    <r>
      <rPr>
        <sz val="11"/>
        <color theme="1"/>
        <rFont val="Tahoma"/>
        <family val="2"/>
      </rPr>
      <t>(</t>
    </r>
    <r>
      <rPr>
        <sz val="11"/>
        <color theme="1"/>
        <rFont val="宋体"/>
        <family val="3"/>
        <charset val="134"/>
      </rPr>
      <t>含转轴</t>
    </r>
    <r>
      <rPr>
        <sz val="11"/>
        <color theme="1"/>
        <rFont val="Tahoma"/>
        <family val="2"/>
      </rPr>
      <t>)</t>
    </r>
    <r>
      <rPr>
        <sz val="11"/>
        <color theme="1"/>
        <rFont val="宋体"/>
        <family val="3"/>
        <charset val="134"/>
      </rPr>
      <t>转动惯量</t>
    </r>
    <r>
      <rPr>
        <sz val="11"/>
        <color theme="1"/>
        <rFont val="Tahoma"/>
        <family val="2"/>
      </rPr>
      <t>J1(kg.m²)</t>
    </r>
    <phoneticPr fontId="4" type="noConversion"/>
  </si>
  <si>
    <r>
      <rPr>
        <sz val="11"/>
        <color theme="1"/>
        <rFont val="宋体"/>
        <family val="3"/>
        <charset val="134"/>
      </rPr>
      <t>从动轮转动惯量</t>
    </r>
    <r>
      <rPr>
        <sz val="11"/>
        <color theme="1"/>
        <rFont val="Tahoma"/>
        <family val="2"/>
      </rPr>
      <t>J2(kg.m²)</t>
    </r>
    <phoneticPr fontId="4" type="noConversion"/>
  </si>
  <si>
    <t>折算到分割器输出轴的惯量J"(kg.cm²)</t>
    <phoneticPr fontId="4" type="noConversion"/>
  </si>
  <si>
    <t>(J1+J1/η1+J2+J3)/(i²η0)</t>
    <phoneticPr fontId="4" type="noConversion"/>
  </si>
  <si>
    <t>SW中查询</t>
    <phoneticPr fontId="4" type="noConversion"/>
  </si>
  <si>
    <t>图中Φ100的轮</t>
    <phoneticPr fontId="4" type="noConversion"/>
  </si>
  <si>
    <t>图中Φ200的轮</t>
    <phoneticPr fontId="4" type="noConversion"/>
  </si>
  <si>
    <r>
      <rPr>
        <sz val="11"/>
        <color theme="1"/>
        <rFont val="宋体"/>
        <family val="3"/>
        <charset val="134"/>
      </rPr>
      <t>主动轮转动惯量</t>
    </r>
    <r>
      <rPr>
        <sz val="11"/>
        <color theme="1"/>
        <rFont val="Tahoma"/>
        <family val="2"/>
      </rPr>
      <t>J‘(kg.m²)</t>
    </r>
    <phoneticPr fontId="4" type="noConversion"/>
  </si>
  <si>
    <t>J=J'=J"</t>
    <phoneticPr fontId="4" type="noConversion"/>
  </si>
  <si>
    <t>分割器输出轴所需总惯量J(kg.m²)</t>
    <phoneticPr fontId="4" type="noConversion"/>
  </si>
  <si>
    <r>
      <rPr>
        <sz val="11"/>
        <color theme="1"/>
        <rFont val="宋体"/>
        <family val="3"/>
        <charset val="134"/>
      </rPr>
      <t>滑轨摩擦力</t>
    </r>
    <r>
      <rPr>
        <sz val="11"/>
        <color theme="1"/>
        <rFont val="Tahoma"/>
        <family val="2"/>
      </rPr>
      <t>f(N)</t>
    </r>
    <phoneticPr fontId="4" type="noConversion"/>
  </si>
  <si>
    <t>(m1+0.5m0)gμ</t>
    <phoneticPr fontId="4" type="noConversion"/>
  </si>
  <si>
    <t>轨道摩擦系数μ</t>
    <phoneticPr fontId="4" type="noConversion"/>
  </si>
  <si>
    <t>Tf”/(i*η0*η1)</t>
    <phoneticPr fontId="4" type="noConversion"/>
  </si>
  <si>
    <r>
      <rPr>
        <sz val="11"/>
        <color theme="1"/>
        <rFont val="宋体"/>
        <family val="3"/>
        <charset val="134"/>
      </rPr>
      <t>链</t>
    </r>
    <r>
      <rPr>
        <sz val="11"/>
        <color theme="1"/>
        <rFont val="Tahoma"/>
        <family val="2"/>
      </rPr>
      <t>/</t>
    </r>
    <r>
      <rPr>
        <sz val="11"/>
        <color theme="1"/>
        <rFont val="宋体"/>
        <family val="3"/>
        <charset val="134"/>
      </rPr>
      <t>带轮节圆直径</t>
    </r>
    <r>
      <rPr>
        <sz val="11"/>
        <color theme="1"/>
        <rFont val="Tahoma"/>
        <family val="2"/>
      </rPr>
      <t>2r(mm)</t>
    </r>
    <phoneticPr fontId="4" type="noConversion"/>
  </si>
  <si>
    <t>所需最小分割数s0</t>
    <phoneticPr fontId="4" type="noConversion"/>
  </si>
  <si>
    <r>
      <t>2</t>
    </r>
    <r>
      <rPr>
        <sz val="11"/>
        <color rgb="FFFF0000"/>
        <rFont val="宋体"/>
        <family val="3"/>
        <charset val="134"/>
        <scheme val="minor"/>
      </rPr>
      <t>π</t>
    </r>
    <r>
      <rPr>
        <sz val="11"/>
        <color rgb="FFFF0000"/>
        <rFont val="Tahoma"/>
        <family val="2"/>
      </rPr>
      <t>r</t>
    </r>
    <r>
      <rPr>
        <sz val="11"/>
        <color rgb="FFFF0000"/>
        <rFont val="宋体"/>
        <family val="3"/>
        <charset val="134"/>
      </rPr>
      <t>必须≈</t>
    </r>
    <r>
      <rPr>
        <sz val="11"/>
        <color rgb="FFFF0000"/>
        <rFont val="Tahoma"/>
        <family val="2"/>
      </rPr>
      <t>Pc</t>
    </r>
    <r>
      <rPr>
        <sz val="11"/>
        <color rgb="FFFF0000"/>
        <rFont val="宋体"/>
        <family val="3"/>
        <charset val="134"/>
      </rPr>
      <t>的整数倍</t>
    </r>
    <phoneticPr fontId="4" type="noConversion"/>
  </si>
  <si>
    <t>表2 凸轮曲线参数(注:负载达100kg以上属于低速种负荷，负载1kg以下可以选择高速轻负荷)</t>
    <phoneticPr fontId="4" type="noConversion"/>
  </si>
  <si>
    <r>
      <rPr>
        <sz val="11"/>
        <color theme="1"/>
        <rFont val="宋体"/>
        <family val="3"/>
        <charset val="134"/>
      </rPr>
      <t>外力</t>
    </r>
    <r>
      <rPr>
        <sz val="11"/>
        <color theme="1"/>
        <rFont val="Tahoma"/>
        <family val="2"/>
      </rPr>
      <t>Fa(N</t>
    </r>
    <r>
      <rPr>
        <sz val="11"/>
        <color theme="1"/>
        <rFont val="宋体"/>
        <family val="3"/>
        <charset val="134"/>
      </rPr>
      <t>，阻碍运动为正</t>
    </r>
    <r>
      <rPr>
        <sz val="11"/>
        <color theme="1"/>
        <rFont val="Tahoma"/>
        <family val="2"/>
      </rPr>
      <t>)</t>
    </r>
    <phoneticPr fontId="4" type="noConversion"/>
  </si>
  <si>
    <r>
      <rPr>
        <sz val="11"/>
        <color theme="1"/>
        <rFont val="宋体"/>
        <family val="3"/>
        <charset val="134"/>
      </rPr>
      <t>输出轴最大角加速度</t>
    </r>
    <r>
      <rPr>
        <sz val="11"/>
        <color theme="1"/>
        <rFont val="Tahoma"/>
        <family val="2"/>
      </rPr>
      <t>α(rad/s</t>
    </r>
    <r>
      <rPr>
        <vertAlign val="superscript"/>
        <sz val="12"/>
        <color theme="1"/>
        <rFont val="宋体"/>
        <family val="3"/>
        <charset val="134"/>
      </rPr>
      <t>2</t>
    </r>
    <r>
      <rPr>
        <sz val="11"/>
        <color theme="1"/>
        <rFont val="宋体"/>
        <family val="3"/>
        <charset val="134"/>
      </rPr>
      <t>)</t>
    </r>
    <phoneticPr fontId="4" type="noConversion"/>
  </si>
  <si>
    <r>
      <rPr>
        <sz val="11"/>
        <color theme="1"/>
        <rFont val="宋体"/>
        <family val="3"/>
        <charset val="134"/>
      </rPr>
      <t>转矩安全系数</t>
    </r>
    <r>
      <rPr>
        <sz val="11"/>
        <color theme="1"/>
        <rFont val="Tahoma"/>
        <family val="2"/>
      </rPr>
      <t>K</t>
    </r>
    <phoneticPr fontId="4" type="noConversion"/>
  </si>
  <si>
    <r>
      <rPr>
        <sz val="11"/>
        <color theme="1"/>
        <rFont val="宋体"/>
        <family val="3"/>
        <charset val="134"/>
      </rPr>
      <t>分割器输出轴惯性转矩</t>
    </r>
    <r>
      <rPr>
        <sz val="11"/>
        <color theme="1"/>
        <rFont val="Tahoma"/>
        <family val="2"/>
      </rPr>
      <t>Tj=Jα(N.m)</t>
    </r>
    <phoneticPr fontId="4" type="noConversion"/>
  </si>
  <si>
    <t>Tj=Jα</t>
    <phoneticPr fontId="4" type="noConversion"/>
  </si>
  <si>
    <t>Tj=Jα</t>
    <phoneticPr fontId="4" type="noConversion"/>
  </si>
  <si>
    <r>
      <rPr>
        <sz val="11"/>
        <color theme="1"/>
        <rFont val="宋体"/>
        <family val="3"/>
        <charset val="134"/>
      </rPr>
      <t>负载转矩</t>
    </r>
    <r>
      <rPr>
        <sz val="11"/>
        <color theme="1"/>
        <rFont val="Tahoma"/>
        <family val="2"/>
      </rPr>
      <t>Te=KTj(N.m)</t>
    </r>
    <phoneticPr fontId="4" type="noConversion"/>
  </si>
  <si>
    <t>(f+Fa)r</t>
    <phoneticPr fontId="4" type="noConversion"/>
  </si>
  <si>
    <r>
      <rPr>
        <sz val="11"/>
        <color theme="1"/>
        <rFont val="宋体"/>
        <family val="3"/>
        <charset val="134"/>
      </rPr>
      <t>摩擦力与外力转矩</t>
    </r>
    <r>
      <rPr>
        <sz val="11"/>
        <color theme="1"/>
        <rFont val="Tahoma"/>
        <family val="2"/>
      </rPr>
      <t>T</t>
    </r>
    <r>
      <rPr>
        <vertAlign val="subscript"/>
        <sz val="14"/>
        <color theme="1"/>
        <rFont val="Tahoma"/>
        <family val="2"/>
      </rPr>
      <t>f</t>
    </r>
    <r>
      <rPr>
        <sz val="11"/>
        <color theme="1"/>
        <rFont val="Tahoma"/>
        <family val="2"/>
      </rPr>
      <t>“</t>
    </r>
    <phoneticPr fontId="4" type="noConversion"/>
  </si>
  <si>
    <r>
      <t>Tf"</t>
    </r>
    <r>
      <rPr>
        <sz val="11"/>
        <color theme="1"/>
        <rFont val="宋体"/>
        <family val="3"/>
        <charset val="134"/>
      </rPr>
      <t>转换到分割器输出轴</t>
    </r>
    <r>
      <rPr>
        <sz val="11"/>
        <color theme="1"/>
        <rFont val="Tahoma"/>
        <family val="2"/>
      </rPr>
      <t>T</t>
    </r>
    <r>
      <rPr>
        <vertAlign val="subscript"/>
        <sz val="14"/>
        <color theme="1"/>
        <rFont val="Tahoma"/>
        <family val="2"/>
      </rPr>
      <t>f</t>
    </r>
    <phoneticPr fontId="4" type="noConversion"/>
  </si>
  <si>
    <t>T0=Tf+Tj</t>
    <phoneticPr fontId="4" type="noConversion"/>
  </si>
  <si>
    <t>1.5~2</t>
    <phoneticPr fontId="4" type="noConversion"/>
  </si>
  <si>
    <r>
      <rPr>
        <sz val="11"/>
        <color theme="1"/>
        <rFont val="宋体"/>
        <family val="3"/>
        <charset val="134"/>
      </rPr>
      <t>计算转矩</t>
    </r>
    <r>
      <rPr>
        <sz val="11"/>
        <color theme="1"/>
        <rFont val="Tahoma"/>
        <family val="2"/>
      </rPr>
      <t>T0(N.m)</t>
    </r>
    <phoneticPr fontId="4" type="noConversion"/>
  </si>
  <si>
    <r>
      <rPr>
        <sz val="11"/>
        <color theme="1"/>
        <rFont val="宋体"/>
        <family val="3"/>
        <charset val="134"/>
      </rPr>
      <t>所需分割器输出轴转矩</t>
    </r>
    <r>
      <rPr>
        <sz val="11"/>
        <color theme="1"/>
        <rFont val="Tahoma"/>
        <family val="2"/>
      </rPr>
      <t>Te(N.m)</t>
    </r>
    <phoneticPr fontId="4" type="noConversion"/>
  </si>
  <si>
    <t>Te=KT0</t>
    <phoneticPr fontId="4" type="noConversion"/>
  </si>
  <si>
    <r>
      <rPr>
        <sz val="11"/>
        <color theme="1"/>
        <rFont val="宋体"/>
        <family val="3"/>
        <charset val="134"/>
      </rPr>
      <t>所需分割数</t>
    </r>
    <r>
      <rPr>
        <sz val="11"/>
        <color theme="1"/>
        <rFont val="Tahoma"/>
        <family val="2"/>
      </rPr>
      <t>s</t>
    </r>
    <phoneticPr fontId="4" type="noConversion"/>
  </si>
  <si>
    <r>
      <rPr>
        <sz val="11"/>
        <color theme="1"/>
        <rFont val="宋体"/>
        <family val="3"/>
        <charset val="134"/>
      </rPr>
      <t>对</t>
    </r>
    <r>
      <rPr>
        <sz val="11"/>
        <color theme="1"/>
        <rFont val="Tahoma"/>
        <family val="2"/>
      </rPr>
      <t>S</t>
    </r>
    <r>
      <rPr>
        <sz val="11"/>
        <color theme="1"/>
        <rFont val="宋体"/>
        <family val="3"/>
        <charset val="134"/>
      </rPr>
      <t>取整</t>
    </r>
    <phoneticPr fontId="4" type="noConversion"/>
  </si>
  <si>
    <r>
      <rPr>
        <sz val="11"/>
        <color theme="1"/>
        <rFont val="宋体"/>
        <family val="3"/>
        <charset val="134"/>
      </rPr>
      <t>表</t>
    </r>
    <r>
      <rPr>
        <sz val="11"/>
        <color theme="1"/>
        <rFont val="Tahoma"/>
        <family val="2"/>
      </rPr>
      <t>3 THK</t>
    </r>
    <r>
      <rPr>
        <sz val="11"/>
        <color theme="1"/>
        <rFont val="宋体"/>
        <family val="3"/>
        <charset val="134"/>
      </rPr>
      <t>凸轮分割器参数截图</t>
    </r>
    <phoneticPr fontId="4" type="noConversion"/>
  </si>
  <si>
    <r>
      <rPr>
        <sz val="11"/>
        <color theme="1"/>
        <rFont val="宋体"/>
        <family val="3"/>
        <charset val="134"/>
      </rPr>
      <t>表</t>
    </r>
    <r>
      <rPr>
        <sz val="11"/>
        <color theme="1"/>
        <rFont val="Tahoma"/>
        <family val="2"/>
      </rPr>
      <t xml:space="preserve">4 </t>
    </r>
    <r>
      <rPr>
        <sz val="11"/>
        <color theme="1"/>
        <rFont val="宋体"/>
        <family val="3"/>
        <charset val="134"/>
      </rPr>
      <t>东方马达</t>
    </r>
    <r>
      <rPr>
        <sz val="11"/>
        <color theme="1"/>
        <rFont val="Tahoma"/>
        <family val="2"/>
      </rPr>
      <t>K2</t>
    </r>
    <r>
      <rPr>
        <sz val="11"/>
        <color theme="1"/>
        <rFont val="宋体"/>
        <family val="3"/>
        <charset val="134"/>
      </rPr>
      <t>系列</t>
    </r>
    <r>
      <rPr>
        <sz val="11"/>
        <color theme="1"/>
        <rFont val="Tahoma"/>
        <family val="2"/>
      </rPr>
      <t>40w</t>
    </r>
    <r>
      <rPr>
        <sz val="11"/>
        <color theme="1"/>
        <rFont val="宋体"/>
        <family val="3"/>
        <charset val="134"/>
      </rPr>
      <t>电机截图</t>
    </r>
    <phoneticPr fontId="4" type="noConversion"/>
  </si>
  <si>
    <r>
      <rPr>
        <sz val="11"/>
        <color theme="1"/>
        <rFont val="宋体"/>
        <family val="3"/>
        <charset val="134"/>
      </rPr>
      <t>电机轴负载转矩</t>
    </r>
    <r>
      <rPr>
        <sz val="11"/>
        <color theme="1"/>
        <rFont val="Tahoma"/>
        <family val="2"/>
      </rPr>
      <t>T</t>
    </r>
    <r>
      <rPr>
        <vertAlign val="subscript"/>
        <sz val="14"/>
        <color theme="1"/>
        <rFont val="Tahoma"/>
        <family val="2"/>
      </rPr>
      <t>L</t>
    </r>
    <r>
      <rPr>
        <sz val="11"/>
        <color theme="1"/>
        <rFont val="Tahoma"/>
        <family val="2"/>
      </rPr>
      <t>(N.m)</t>
    </r>
    <phoneticPr fontId="4" type="noConversion"/>
  </si>
  <si>
    <t>kgm2</t>
    <phoneticPr fontId="4" type="noConversion"/>
  </si>
  <si>
    <t>rad/s</t>
    <phoneticPr fontId="4" type="noConversion"/>
  </si>
  <si>
    <r>
      <rPr>
        <sz val="11"/>
        <color theme="1"/>
        <rFont val="宋体"/>
        <family val="3"/>
        <charset val="134"/>
      </rPr>
      <t>匀速运动时丝杆受力</t>
    </r>
    <r>
      <rPr>
        <sz val="11"/>
        <color theme="1"/>
        <rFont val="Tahoma"/>
        <family val="2"/>
      </rPr>
      <t>F(N)</t>
    </r>
    <phoneticPr fontId="4" type="noConversion"/>
  </si>
  <si>
    <t>Fa+mg(sinα+μcosα)</t>
    <phoneticPr fontId="4" type="noConversion"/>
  </si>
  <si>
    <r>
      <rPr>
        <sz val="11"/>
        <color theme="1"/>
        <rFont val="宋体"/>
        <family val="3"/>
        <charset val="134"/>
      </rPr>
      <t>外力</t>
    </r>
    <r>
      <rPr>
        <sz val="11"/>
        <color theme="1"/>
        <rFont val="Tahoma"/>
        <family val="2"/>
      </rPr>
      <t>Fa(N)</t>
    </r>
    <phoneticPr fontId="4" type="noConversion"/>
  </si>
  <si>
    <r>
      <rPr>
        <sz val="11"/>
        <color theme="1"/>
        <rFont val="宋体"/>
        <family val="3"/>
        <charset val="134"/>
      </rPr>
      <t>电机轴启动</t>
    </r>
    <r>
      <rPr>
        <sz val="11"/>
        <color theme="1"/>
        <rFont val="Tahoma"/>
        <family val="2"/>
      </rPr>
      <t>(</t>
    </r>
    <r>
      <rPr>
        <sz val="11"/>
        <color theme="1"/>
        <rFont val="宋体"/>
        <family val="3"/>
        <charset val="134"/>
      </rPr>
      <t>加速</t>
    </r>
    <r>
      <rPr>
        <sz val="11"/>
        <color theme="1"/>
        <rFont val="Tahoma"/>
        <family val="2"/>
      </rPr>
      <t>)</t>
    </r>
    <r>
      <rPr>
        <sz val="11"/>
        <color theme="1"/>
        <rFont val="宋体"/>
        <family val="3"/>
        <charset val="134"/>
      </rPr>
      <t>转矩</t>
    </r>
    <r>
      <rPr>
        <sz val="11"/>
        <color theme="1"/>
        <rFont val="Tahoma"/>
        <family val="2"/>
      </rPr>
      <t>Ts(N.m)</t>
    </r>
    <phoneticPr fontId="4" type="noConversion"/>
  </si>
  <si>
    <r>
      <rPr>
        <sz val="11"/>
        <color theme="1"/>
        <rFont val="宋体"/>
        <family val="3"/>
        <charset val="134"/>
      </rPr>
      <t>启动加速度</t>
    </r>
    <r>
      <rPr>
        <sz val="11"/>
        <color theme="1"/>
        <rFont val="Tahoma"/>
        <family val="2"/>
      </rPr>
      <t>a(m/s²)</t>
    </r>
    <phoneticPr fontId="4" type="noConversion"/>
  </si>
  <si>
    <r>
      <rPr>
        <sz val="11"/>
        <color theme="1"/>
        <rFont val="宋体"/>
        <family val="3"/>
        <charset val="134"/>
      </rPr>
      <t>惯性力</t>
    </r>
    <r>
      <rPr>
        <sz val="11"/>
        <color theme="1"/>
        <rFont val="Tahoma"/>
        <family val="2"/>
      </rPr>
      <t>ma(N)</t>
    </r>
    <phoneticPr fontId="4" type="noConversion"/>
  </si>
  <si>
    <t>m*a</t>
    <phoneticPr fontId="4" type="noConversion"/>
  </si>
  <si>
    <r>
      <t>3</t>
    </r>
    <r>
      <rPr>
        <sz val="11"/>
        <color theme="1"/>
        <rFont val="宋体"/>
        <family val="3"/>
        <charset val="134"/>
      </rPr>
      <t>，计算皮带</t>
    </r>
    <r>
      <rPr>
        <sz val="11"/>
        <color theme="1"/>
        <rFont val="Tahoma"/>
        <family val="2"/>
      </rPr>
      <t xml:space="preserve">/
     </t>
    </r>
    <r>
      <rPr>
        <sz val="11"/>
        <color theme="1"/>
        <rFont val="宋体"/>
        <family val="3"/>
        <charset val="134"/>
      </rPr>
      <t>链条</t>
    </r>
    <r>
      <rPr>
        <sz val="11"/>
        <color theme="1"/>
        <rFont val="Tahoma"/>
        <family val="2"/>
      </rPr>
      <t>/</t>
    </r>
    <r>
      <rPr>
        <sz val="11"/>
        <color theme="1"/>
        <rFont val="宋体"/>
        <family val="3"/>
        <charset val="134"/>
      </rPr>
      <t xml:space="preserve">齿条
</t>
    </r>
    <r>
      <rPr>
        <sz val="11"/>
        <color theme="1"/>
        <rFont val="Tahoma"/>
        <family val="2"/>
      </rPr>
      <t xml:space="preserve">     </t>
    </r>
    <r>
      <rPr>
        <sz val="11"/>
        <color theme="1"/>
        <rFont val="宋体"/>
        <family val="3"/>
        <charset val="134"/>
      </rPr>
      <t>受力</t>
    </r>
    <phoneticPr fontId="4" type="noConversion"/>
  </si>
  <si>
    <t>m*a</t>
    <phoneticPr fontId="4" type="noConversion"/>
  </si>
  <si>
    <r>
      <rPr>
        <sz val="11"/>
        <color theme="1"/>
        <rFont val="宋体"/>
        <family val="3"/>
        <charset val="134"/>
      </rPr>
      <t>负载折算到主</t>
    </r>
    <r>
      <rPr>
        <sz val="11"/>
        <color theme="1"/>
        <rFont val="宋体"/>
        <family val="3"/>
        <charset val="134"/>
      </rPr>
      <t>带</t>
    </r>
    <r>
      <rPr>
        <sz val="11"/>
        <color theme="1"/>
        <rFont val="宋体"/>
        <family val="3"/>
        <charset val="134"/>
      </rPr>
      <t>轮惯量</t>
    </r>
    <r>
      <rPr>
        <sz val="11"/>
        <color theme="1"/>
        <rFont val="Tahoma"/>
        <family val="2"/>
      </rPr>
      <t>J3(kg.cm²)</t>
    </r>
    <phoneticPr fontId="4" type="noConversion"/>
  </si>
  <si>
    <r>
      <rPr>
        <sz val="11"/>
        <color theme="1"/>
        <rFont val="宋体"/>
        <family val="3"/>
        <charset val="134"/>
      </rPr>
      <t>皮带承受最大拉力</t>
    </r>
    <r>
      <rPr>
        <sz val="11"/>
        <color theme="1"/>
        <rFont val="Tahoma"/>
        <family val="2"/>
      </rPr>
      <t>Fmax(N)</t>
    </r>
    <phoneticPr fontId="4" type="noConversion"/>
  </si>
  <si>
    <t>Fmax=F+ma</t>
    <phoneticPr fontId="4" type="noConversion"/>
  </si>
  <si>
    <r>
      <rPr>
        <sz val="11"/>
        <color theme="1"/>
        <rFont val="宋体"/>
        <family val="3"/>
        <charset val="134"/>
      </rPr>
      <t>所需电机轴转矩</t>
    </r>
    <r>
      <rPr>
        <sz val="11"/>
        <color theme="1"/>
        <rFont val="Tahoma"/>
        <family val="2"/>
      </rPr>
      <t>T(N.m)</t>
    </r>
    <phoneticPr fontId="4" type="noConversion"/>
  </si>
  <si>
    <t>T=Fmax*d1/2/(i*η0*η1)</t>
    <phoneticPr fontId="4" type="noConversion"/>
  </si>
  <si>
    <t>简易算法：先算所需电机轴转矩再算转动惯量，转矩不考虑传动系(如主从链/带轮，减速大小齿轮)惯量，需将安全系数放大为2</t>
    <phoneticPr fontId="4" type="noConversion"/>
  </si>
  <si>
    <t>某厂家算法</t>
    <phoneticPr fontId="4" type="noConversion"/>
  </si>
  <si>
    <t>经典力学算法</t>
    <phoneticPr fontId="4" type="noConversion"/>
  </si>
  <si>
    <r>
      <rPr>
        <sz val="11"/>
        <color theme="1"/>
        <rFont val="宋体"/>
        <family val="3"/>
        <charset val="134"/>
      </rPr>
      <t>主动轮理论拉力</t>
    </r>
    <r>
      <rPr>
        <sz val="11"/>
        <color theme="1"/>
        <rFont val="Tahoma"/>
        <family val="2"/>
      </rPr>
      <t>BP(kg)</t>
    </r>
    <phoneticPr fontId="4" type="noConversion"/>
  </si>
  <si>
    <r>
      <rPr>
        <sz val="11"/>
        <color theme="1"/>
        <rFont val="宋体"/>
        <family val="3"/>
        <charset val="134"/>
      </rPr>
      <t>主动轮理论拉力</t>
    </r>
    <r>
      <rPr>
        <sz val="11"/>
        <color theme="1"/>
        <rFont val="Tahoma"/>
        <family val="2"/>
      </rPr>
      <t>F(N)</t>
    </r>
    <phoneticPr fontId="4" type="noConversion"/>
  </si>
  <si>
    <t>有效拉力Fe(N)</t>
    <phoneticPr fontId="4" type="noConversion"/>
  </si>
  <si>
    <t>Fe=KF</t>
    <phoneticPr fontId="4" type="noConversion"/>
  </si>
  <si>
    <r>
      <rPr>
        <sz val="11"/>
        <color theme="1"/>
        <rFont val="宋体"/>
        <family val="3"/>
        <charset val="134"/>
      </rPr>
      <t>有效拉力</t>
    </r>
    <r>
      <rPr>
        <sz val="11"/>
        <color theme="1"/>
        <rFont val="Tahoma"/>
        <family val="2"/>
      </rPr>
      <t>Fe(N)</t>
    </r>
    <phoneticPr fontId="4" type="noConversion"/>
  </si>
  <si>
    <t>F=BPg</t>
    <phoneticPr fontId="4" type="noConversion"/>
  </si>
  <si>
    <r>
      <rPr>
        <sz val="11"/>
        <color theme="1"/>
        <rFont val="宋体"/>
        <family val="3"/>
        <charset val="134"/>
      </rPr>
      <t>安全系数</t>
    </r>
    <r>
      <rPr>
        <sz val="11"/>
        <color theme="1"/>
        <rFont val="Tahoma"/>
        <family val="2"/>
      </rPr>
      <t>K</t>
    </r>
    <phoneticPr fontId="4" type="noConversion"/>
  </si>
  <si>
    <r>
      <rPr>
        <sz val="11"/>
        <color theme="1"/>
        <rFont val="宋体"/>
        <family val="3"/>
        <charset val="134"/>
      </rPr>
      <t>安全系数</t>
    </r>
    <r>
      <rPr>
        <sz val="11"/>
        <color theme="1"/>
        <rFont val="Tahoma"/>
        <family val="2"/>
      </rPr>
      <t>K0</t>
    </r>
    <phoneticPr fontId="4" type="noConversion"/>
  </si>
  <si>
    <r>
      <rPr>
        <sz val="11"/>
        <color theme="1"/>
        <rFont val="宋体"/>
        <family val="3"/>
        <charset val="134"/>
      </rPr>
      <t>主从滚筒总重量</t>
    </r>
    <r>
      <rPr>
        <sz val="11"/>
        <color theme="1"/>
        <rFont val="Tahoma"/>
        <family val="2"/>
      </rPr>
      <t>M3(kg)</t>
    </r>
    <phoneticPr fontId="4" type="noConversion"/>
  </si>
  <si>
    <t>所需转矩T(N.m)</t>
    <phoneticPr fontId="4" type="noConversion"/>
  </si>
  <si>
    <t>m=m1+m2</t>
    <phoneticPr fontId="4" type="noConversion"/>
  </si>
  <si>
    <t>Fa+mg(μcosα+sinα)</t>
    <phoneticPr fontId="4" type="noConversion"/>
  </si>
  <si>
    <t>不用考虑正反方向</t>
    <phoneticPr fontId="4" type="noConversion"/>
  </si>
  <si>
    <r>
      <rPr>
        <sz val="11"/>
        <color theme="1"/>
        <rFont val="宋体"/>
        <family val="3"/>
        <charset val="134"/>
      </rPr>
      <t>外力</t>
    </r>
    <r>
      <rPr>
        <sz val="11"/>
        <color theme="1"/>
        <rFont val="Tahoma"/>
        <family val="2"/>
      </rPr>
      <t>Fa(N)</t>
    </r>
    <phoneticPr fontId="4" type="noConversion"/>
  </si>
  <si>
    <t>间歇输送时不考虑正反，连续输送时阻碍运动为正</t>
    <phoneticPr fontId="4" type="noConversion"/>
  </si>
  <si>
    <r>
      <rPr>
        <sz val="11"/>
        <color theme="1"/>
        <rFont val="宋体"/>
        <family val="3"/>
        <charset val="134"/>
      </rPr>
      <t>匀速运动时主链</t>
    </r>
    <r>
      <rPr>
        <sz val="11"/>
        <color theme="1"/>
        <rFont val="Tahoma"/>
        <family val="2"/>
      </rPr>
      <t>/</t>
    </r>
    <r>
      <rPr>
        <sz val="11"/>
        <color theme="1"/>
        <rFont val="宋体"/>
        <family val="3"/>
        <charset val="134"/>
      </rPr>
      <t>带</t>
    </r>
    <r>
      <rPr>
        <sz val="11"/>
        <color theme="1"/>
        <rFont val="Tahoma"/>
        <family val="2"/>
      </rPr>
      <t>/</t>
    </r>
    <r>
      <rPr>
        <sz val="11"/>
        <color theme="1"/>
        <rFont val="宋体"/>
        <family val="3"/>
        <charset val="134"/>
      </rPr>
      <t>齿轮拉力</t>
    </r>
    <r>
      <rPr>
        <sz val="11"/>
        <color theme="1"/>
        <rFont val="Tahoma"/>
        <family val="2"/>
      </rPr>
      <t>F(N)</t>
    </r>
    <phoneticPr fontId="4" type="noConversion"/>
  </si>
  <si>
    <r>
      <rPr>
        <sz val="11"/>
        <color theme="1"/>
        <rFont val="宋体"/>
        <family val="3"/>
        <charset val="134"/>
      </rPr>
      <t>输送带摩擦因数</t>
    </r>
    <r>
      <rPr>
        <sz val="11"/>
        <color theme="1"/>
        <rFont val="Tahoma"/>
        <family val="2"/>
      </rPr>
      <t>μ</t>
    </r>
    <phoneticPr fontId="4" type="noConversion"/>
  </si>
  <si>
    <r>
      <rPr>
        <sz val="11"/>
        <color theme="1"/>
        <rFont val="宋体"/>
        <family val="3"/>
        <charset val="134"/>
      </rPr>
      <t>匀速运动时主滚筒拉力</t>
    </r>
    <r>
      <rPr>
        <sz val="11"/>
        <color theme="1"/>
        <rFont val="Tahoma"/>
        <family val="2"/>
      </rPr>
      <t>F(N)</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</si>
  <si>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 xml:space="preserve">，厂家算法为一个培训机构的推荐的计算方法，不保证计算精确。
</t>
    </r>
    <r>
      <rPr>
        <sz val="11"/>
        <color theme="1"/>
        <rFont val="Tahoma"/>
        <family val="2"/>
      </rPr>
      <t xml:space="preserve">    </t>
    </r>
    <r>
      <rPr>
        <sz val="11"/>
        <color theme="1"/>
        <rFont val="宋体"/>
        <family val="3"/>
        <charset val="134"/>
      </rPr>
      <t>公式</t>
    </r>
    <r>
      <rPr>
        <sz val="11"/>
        <color theme="1"/>
        <rFont val="Tahoma"/>
        <family val="2"/>
      </rPr>
      <t>BP=f(M1+M2+M3+0.05W)+M1*sinθ+0.3Z     F=BPg
    2</t>
    </r>
    <r>
      <rPr>
        <sz val="11"/>
        <color theme="1"/>
        <rFont val="宋体"/>
        <family val="3"/>
        <charset val="134"/>
      </rPr>
      <t>，经典力学算法为</t>
    </r>
    <r>
      <rPr>
        <sz val="11"/>
        <color theme="1"/>
        <rFont val="Tahoma"/>
        <family val="2"/>
      </rPr>
      <t>F=(M1+M2)gfcosθ+M1gsinθ</t>
    </r>
    <r>
      <rPr>
        <sz val="11"/>
        <color theme="1"/>
        <rFont val="宋体"/>
        <family val="3"/>
        <charset val="134"/>
      </rPr>
      <t>，一般放大为</t>
    </r>
    <r>
      <rPr>
        <sz val="11"/>
        <color theme="1"/>
        <rFont val="Tahoma"/>
        <family val="2"/>
      </rPr>
      <t>F=(M1+M2)g(fcosθ+sinθ)</t>
    </r>
    <r>
      <rPr>
        <sz val="11"/>
        <color theme="1"/>
        <rFont val="宋体"/>
        <family val="3"/>
        <charset val="134"/>
      </rPr>
      <t>，因为</t>
    </r>
    <r>
      <rPr>
        <sz val="11"/>
        <color theme="1"/>
        <rFont val="Tahoma"/>
        <family val="2"/>
      </rPr>
      <t>θ</t>
    </r>
    <r>
      <rPr>
        <sz val="11"/>
        <color theme="1"/>
        <rFont val="宋体"/>
        <family val="3"/>
        <charset val="134"/>
      </rPr>
      <t>≤</t>
    </r>
    <r>
      <rPr>
        <sz val="11"/>
        <color theme="1"/>
        <rFont val="Tahoma"/>
        <family val="2"/>
      </rPr>
      <t>20°</t>
    </r>
    <r>
      <rPr>
        <sz val="11"/>
        <color theme="1"/>
        <rFont val="宋体"/>
        <family val="3"/>
        <charset val="134"/>
      </rPr>
      <t>，可将</t>
    </r>
    <r>
      <rPr>
        <sz val="11"/>
        <color theme="1"/>
        <rFont val="Tahoma"/>
        <family val="2"/>
      </rPr>
      <t>cosθ</t>
    </r>
    <r>
      <rPr>
        <sz val="11"/>
        <color theme="1"/>
        <rFont val="宋体"/>
        <family val="3"/>
        <charset val="134"/>
      </rPr>
      <t>换成</t>
    </r>
    <r>
      <rPr>
        <sz val="11"/>
        <color theme="1"/>
        <rFont val="Tahoma"/>
        <family val="2"/>
      </rPr>
      <t>1</t>
    </r>
    <r>
      <rPr>
        <sz val="11"/>
        <color theme="1"/>
        <rFont val="宋体"/>
        <family val="3"/>
        <charset val="134"/>
      </rPr>
      <t>，厂家算法和经典算法结果差距主要产生在计算摩擦力</t>
    </r>
    <r>
      <rPr>
        <sz val="11"/>
        <color theme="1"/>
        <rFont val="Tahoma"/>
        <family val="2"/>
      </rPr>
      <t>mgf</t>
    </r>
    <r>
      <rPr>
        <sz val="11"/>
        <color theme="1"/>
        <rFont val="宋体"/>
        <family val="3"/>
        <charset val="134"/>
      </rPr>
      <t>时是否将主从滚筒质量计算入</t>
    </r>
    <r>
      <rPr>
        <sz val="11"/>
        <color theme="1"/>
        <rFont val="Tahoma"/>
        <family val="2"/>
      </rPr>
      <t>m</t>
    </r>
    <r>
      <rPr>
        <sz val="11"/>
        <color theme="1"/>
        <rFont val="宋体"/>
        <family val="3"/>
        <charset val="134"/>
      </rPr>
      <t>中，使用经典算法至少放大</t>
    </r>
    <r>
      <rPr>
        <sz val="11"/>
        <color theme="1"/>
        <rFont val="Tahoma"/>
        <family val="2"/>
      </rPr>
      <t>2</t>
    </r>
    <r>
      <rPr>
        <sz val="11"/>
        <color theme="1"/>
        <rFont val="宋体"/>
        <family val="3"/>
        <charset val="134"/>
      </rPr>
      <t>倍安全系数。</t>
    </r>
    <r>
      <rPr>
        <sz val="11"/>
        <color theme="1"/>
        <rFont val="Tahoma"/>
        <family val="2"/>
      </rPr>
      <t xml:space="preserve">
    3</t>
    </r>
    <r>
      <rPr>
        <sz val="11"/>
        <color theme="1"/>
        <rFont val="宋体"/>
        <family val="3"/>
        <charset val="134"/>
      </rPr>
      <t>，皮带宽度一般比滚筒小</t>
    </r>
    <r>
      <rPr>
        <sz val="11"/>
        <color theme="1"/>
        <rFont val="Tahoma"/>
        <family val="2"/>
      </rPr>
      <t>2*</t>
    </r>
    <r>
      <rPr>
        <sz val="11"/>
        <color theme="1"/>
        <rFont val="宋体"/>
        <family val="3"/>
        <charset val="134"/>
      </rPr>
      <t>（</t>
    </r>
    <r>
      <rPr>
        <sz val="11"/>
        <color theme="1"/>
        <rFont val="Tahoma"/>
        <family val="2"/>
      </rPr>
      <t>2~3</t>
    </r>
    <r>
      <rPr>
        <sz val="11"/>
        <color theme="1"/>
        <rFont val="宋体"/>
        <family val="3"/>
        <charset val="134"/>
      </rPr>
      <t>）</t>
    </r>
    <r>
      <rPr>
        <sz val="11"/>
        <color theme="1"/>
        <rFont val="Tahoma"/>
        <family val="2"/>
      </rPr>
      <t>mm</t>
    </r>
    <r>
      <rPr>
        <sz val="11"/>
        <color theme="1"/>
        <rFont val="宋体"/>
        <family val="3"/>
        <charset val="134"/>
      </rPr>
      <t>，即</t>
    </r>
    <r>
      <rPr>
        <sz val="11"/>
        <color rgb="FFFF0000"/>
        <rFont val="宋体"/>
        <family val="3"/>
        <charset val="134"/>
      </rPr>
      <t>滚筒两端各预留</t>
    </r>
    <r>
      <rPr>
        <sz val="11"/>
        <color rgb="FFFF0000"/>
        <rFont val="Tahoma"/>
        <family val="2"/>
      </rPr>
      <t>2~3mm</t>
    </r>
    <r>
      <rPr>
        <sz val="11"/>
        <color theme="1"/>
        <rFont val="宋体"/>
        <family val="3"/>
        <charset val="134"/>
      </rPr>
      <t xml:space="preserve">。
</t>
    </r>
    <r>
      <rPr>
        <sz val="11"/>
        <color theme="1"/>
        <rFont val="Tahoma"/>
        <family val="2"/>
      </rPr>
      <t xml:space="preserve">    4</t>
    </r>
    <r>
      <rPr>
        <sz val="11"/>
        <color theme="1"/>
        <rFont val="宋体"/>
        <family val="3"/>
        <charset val="134"/>
      </rPr>
      <t>，防止平带跑偏方法：在</t>
    </r>
    <r>
      <rPr>
        <sz val="11"/>
        <color rgb="FFFF0000"/>
        <rFont val="宋体"/>
        <family val="3"/>
        <charset val="134"/>
      </rPr>
      <t>主动轮两端各</t>
    </r>
    <r>
      <rPr>
        <sz val="11"/>
        <color rgb="FFFF0000"/>
        <rFont val="Tahoma"/>
        <family val="2"/>
      </rPr>
      <t>20%</t>
    </r>
    <r>
      <rPr>
        <sz val="11"/>
        <color rgb="FFFF0000"/>
        <rFont val="宋体"/>
        <family val="3"/>
        <charset val="134"/>
      </rPr>
      <t>长度做出</t>
    </r>
    <r>
      <rPr>
        <sz val="11"/>
        <color rgb="FFFF0000"/>
        <rFont val="Tahoma"/>
        <family val="2"/>
      </rPr>
      <t>2°</t>
    </r>
    <r>
      <rPr>
        <sz val="11"/>
        <color rgb="FFFF0000"/>
        <rFont val="宋体"/>
        <family val="3"/>
        <charset val="134"/>
      </rPr>
      <t>左右锥度</t>
    </r>
    <r>
      <rPr>
        <sz val="11"/>
        <color theme="1"/>
        <rFont val="宋体"/>
        <family val="3"/>
        <charset val="134"/>
      </rPr>
      <t>，如下图</t>
    </r>
    <phoneticPr fontId="4" type="noConversion"/>
  </si>
  <si>
    <t>(M1+M2)g(fcosθ+sinθ)</t>
    <phoneticPr fontId="4" type="noConversion"/>
  </si>
  <si>
    <r>
      <rPr>
        <b/>
        <sz val="11"/>
        <color theme="1"/>
        <rFont val="宋体"/>
        <family val="3"/>
        <charset val="134"/>
      </rPr>
      <t>左侧为标准算法</t>
    </r>
    <r>
      <rPr>
        <sz val="11"/>
        <color theme="1"/>
        <rFont val="宋体"/>
        <family val="3"/>
        <charset val="134"/>
      </rPr>
      <t>，转矩安全系数推荐</t>
    </r>
    <r>
      <rPr>
        <sz val="11"/>
        <color theme="1"/>
        <rFont val="Tahoma"/>
        <family val="2"/>
      </rPr>
      <t>1.2</t>
    </r>
    <r>
      <rPr>
        <sz val="11"/>
        <color theme="1"/>
        <rFont val="宋体"/>
        <family val="3"/>
        <charset val="134"/>
      </rPr>
      <t xml:space="preserve">，
</t>
    </r>
    <r>
      <rPr>
        <b/>
        <sz val="11"/>
        <color theme="1"/>
        <rFont val="宋体"/>
        <family val="3"/>
        <charset val="134"/>
      </rPr>
      <t>右侧为简易算法</t>
    </r>
    <r>
      <rPr>
        <sz val="11"/>
        <color theme="1"/>
        <rFont val="宋体"/>
        <family val="3"/>
        <charset val="134"/>
      </rPr>
      <t>，计算电机转矩时未未考虑传动系惯量，转矩安全系数应取大值，推荐</t>
    </r>
    <r>
      <rPr>
        <sz val="11"/>
        <color theme="1"/>
        <rFont val="Tahoma"/>
        <family val="2"/>
      </rPr>
      <t>2</t>
    </r>
    <phoneticPr fontId="4" type="noConversion"/>
  </si>
  <si>
    <r>
      <rPr>
        <b/>
        <sz val="11"/>
        <color theme="1"/>
        <rFont val="宋体"/>
        <family val="3"/>
        <charset val="134"/>
      </rPr>
      <t>左侧为标准算法</t>
    </r>
    <r>
      <rPr>
        <sz val="11"/>
        <color theme="1"/>
        <rFont val="宋体"/>
        <family val="3"/>
        <charset val="134"/>
      </rPr>
      <t>，转矩安全系数推荐</t>
    </r>
    <r>
      <rPr>
        <sz val="11"/>
        <color theme="1"/>
        <rFont val="Tahoma"/>
        <family val="2"/>
      </rPr>
      <t>1.5</t>
    </r>
    <r>
      <rPr>
        <sz val="11"/>
        <color theme="1"/>
        <rFont val="宋体"/>
        <family val="3"/>
        <charset val="134"/>
      </rPr>
      <t xml:space="preserve">，
</t>
    </r>
    <r>
      <rPr>
        <b/>
        <sz val="11"/>
        <color theme="1"/>
        <rFont val="宋体"/>
        <family val="3"/>
        <charset val="134"/>
      </rPr>
      <t>右侧为简易算法</t>
    </r>
    <r>
      <rPr>
        <sz val="11"/>
        <color theme="1"/>
        <rFont val="宋体"/>
        <family val="3"/>
        <charset val="134"/>
      </rPr>
      <t>，计算电机转矩时未未考虑传动系惯量，转矩安全系数应取大值，推荐</t>
    </r>
    <r>
      <rPr>
        <sz val="11"/>
        <color theme="1"/>
        <rFont val="Tahoma"/>
        <family val="2"/>
      </rPr>
      <t>2</t>
    </r>
    <phoneticPr fontId="4" type="noConversion"/>
  </si>
  <si>
    <t>1~2</t>
    <phoneticPr fontId="4" type="noConversion"/>
  </si>
  <si>
    <t>往复摆动时</t>
    <phoneticPr fontId="4" type="noConversion"/>
  </si>
  <si>
    <t>轨道摩擦系数μ</t>
    <phoneticPr fontId="4" type="noConversion"/>
  </si>
  <si>
    <t>行程距离Rp</t>
    <phoneticPr fontId="4" type="noConversion"/>
  </si>
  <si>
    <r>
      <rPr>
        <sz val="11"/>
        <color theme="1"/>
        <rFont val="宋体"/>
        <family val="3"/>
        <charset val="134"/>
      </rPr>
      <t>生产节拍</t>
    </r>
    <r>
      <rPr>
        <sz val="11"/>
        <color theme="1"/>
        <rFont val="Tahoma"/>
        <family val="2"/>
      </rPr>
      <t>(</t>
    </r>
    <r>
      <rPr>
        <sz val="11"/>
        <color theme="1"/>
        <rFont val="宋体"/>
        <family val="3"/>
        <charset val="134"/>
      </rPr>
      <t>时间</t>
    </r>
    <r>
      <rPr>
        <sz val="11"/>
        <color theme="1"/>
        <rFont val="Tahoma"/>
        <family val="2"/>
      </rPr>
      <t>/</t>
    </r>
    <r>
      <rPr>
        <sz val="11"/>
        <color theme="1"/>
        <rFont val="宋体"/>
        <family val="3"/>
        <charset val="134"/>
      </rPr>
      <t>生产量</t>
    </r>
    <r>
      <rPr>
        <sz val="11"/>
        <color theme="1"/>
        <rFont val="Tahoma"/>
        <family val="2"/>
      </rPr>
      <t>)</t>
    </r>
    <phoneticPr fontId="4" type="noConversion"/>
  </si>
  <si>
    <r>
      <rPr>
        <sz val="11"/>
        <color theme="1"/>
        <rFont val="宋体"/>
        <family val="3"/>
        <charset val="134"/>
      </rPr>
      <t>工位停顿时间</t>
    </r>
    <r>
      <rPr>
        <sz val="11"/>
        <color theme="1"/>
        <rFont val="Tahoma"/>
        <family val="2"/>
      </rPr>
      <t>(s)</t>
    </r>
    <phoneticPr fontId="4" type="noConversion"/>
  </si>
  <si>
    <r>
      <rPr>
        <sz val="11"/>
        <color theme="1"/>
        <rFont val="宋体"/>
        <family val="3"/>
        <charset val="134"/>
      </rPr>
      <t>摇摆角度</t>
    </r>
    <r>
      <rPr>
        <sz val="11"/>
        <color theme="1"/>
        <rFont val="Tahoma"/>
        <family val="2"/>
      </rPr>
      <t>α(°)</t>
    </r>
    <phoneticPr fontId="4" type="noConversion"/>
  </si>
  <si>
    <r>
      <rPr>
        <sz val="11"/>
        <color theme="1"/>
        <rFont val="宋体"/>
        <family val="3"/>
        <charset val="134"/>
      </rPr>
      <t>摆臂重</t>
    </r>
    <r>
      <rPr>
        <sz val="11"/>
        <color theme="1"/>
        <rFont val="Tahoma"/>
        <family val="2"/>
      </rPr>
      <t>m3(kg)</t>
    </r>
    <phoneticPr fontId="4" type="noConversion"/>
  </si>
  <si>
    <r>
      <rPr>
        <sz val="11"/>
        <color theme="1"/>
        <rFont val="宋体"/>
        <family val="3"/>
        <charset val="134"/>
      </rPr>
      <t>机械效率</t>
    </r>
    <r>
      <rPr>
        <sz val="11"/>
        <color theme="1"/>
        <rFont val="Tahoma"/>
        <family val="2"/>
      </rPr>
      <t>η</t>
    </r>
    <phoneticPr fontId="4" type="noConversion"/>
  </si>
  <si>
    <r>
      <rPr>
        <sz val="10"/>
        <color theme="1"/>
        <rFont val="宋体"/>
        <family val="3"/>
        <charset val="134"/>
      </rPr>
      <t>摆动凸轮分割器没有分割数</t>
    </r>
    <r>
      <rPr>
        <sz val="10"/>
        <color theme="1"/>
        <rFont val="Tahoma"/>
        <family val="2"/>
      </rPr>
      <t>(</t>
    </r>
    <r>
      <rPr>
        <sz val="10"/>
        <color theme="1"/>
        <rFont val="宋体"/>
        <family val="3"/>
        <charset val="134"/>
      </rPr>
      <t>即分割数</t>
    </r>
    <r>
      <rPr>
        <sz val="10"/>
        <color theme="1"/>
        <rFont val="Tahoma"/>
        <family val="2"/>
      </rPr>
      <t>S=1)</t>
    </r>
    <phoneticPr fontId="4" type="noConversion"/>
  </si>
  <si>
    <r>
      <rPr>
        <sz val="11"/>
        <color theme="1"/>
        <rFont val="宋体"/>
        <family val="3"/>
        <charset val="134"/>
      </rPr>
      <t>相对分割数</t>
    </r>
    <r>
      <rPr>
        <sz val="11"/>
        <color theme="1"/>
        <rFont val="Tahoma"/>
        <family val="2"/>
      </rPr>
      <t>Se(</t>
    </r>
    <r>
      <rPr>
        <sz val="11"/>
        <color theme="1"/>
        <rFont val="宋体"/>
        <family val="3"/>
        <charset val="134"/>
      </rPr>
      <t>不是工位分割数</t>
    </r>
    <r>
      <rPr>
        <sz val="11"/>
        <color theme="1"/>
        <rFont val="Tahoma"/>
        <family val="2"/>
      </rPr>
      <t>)</t>
    </r>
    <phoneticPr fontId="4" type="noConversion"/>
  </si>
  <si>
    <r>
      <rPr>
        <sz val="11"/>
        <color theme="1"/>
        <rFont val="宋体"/>
        <family val="3"/>
        <charset val="134"/>
      </rPr>
      <t>摆臂长度</t>
    </r>
    <r>
      <rPr>
        <sz val="11"/>
        <color theme="1"/>
        <rFont val="Tahoma"/>
        <family val="2"/>
      </rPr>
      <t>L(mm)</t>
    </r>
    <phoneticPr fontId="4" type="noConversion"/>
  </si>
  <si>
    <r>
      <rPr>
        <sz val="11"/>
        <color theme="1"/>
        <rFont val="宋体"/>
        <family val="3"/>
        <charset val="134"/>
      </rPr>
      <t>摆臂半径</t>
    </r>
    <r>
      <rPr>
        <sz val="11"/>
        <color theme="1"/>
        <rFont val="Tahoma"/>
        <family val="2"/>
      </rPr>
      <t>Re(mm)</t>
    </r>
    <phoneticPr fontId="4" type="noConversion"/>
  </si>
  <si>
    <t>摩擦半径Rf(mm)</t>
    <phoneticPr fontId="4" type="noConversion"/>
  </si>
  <si>
    <t>Re=0.5L</t>
    <phoneticPr fontId="4" type="noConversion"/>
  </si>
  <si>
    <r>
      <t>Rf=Rp*Se/(2</t>
    </r>
    <r>
      <rPr>
        <sz val="11"/>
        <color theme="1"/>
        <rFont val="宋体"/>
        <family val="3"/>
        <charset val="134"/>
      </rPr>
      <t>π</t>
    </r>
    <r>
      <rPr>
        <sz val="11"/>
        <color theme="1"/>
        <rFont val="Tahoma"/>
        <family val="2"/>
      </rPr>
      <t>)</t>
    </r>
    <phoneticPr fontId="4" type="noConversion"/>
  </si>
  <si>
    <r>
      <rPr>
        <sz val="11"/>
        <rFont val="宋体"/>
        <family val="3"/>
        <charset val="134"/>
      </rPr>
      <t>在《转动惯量中计算》或</t>
    </r>
    <r>
      <rPr>
        <sz val="11"/>
        <rFont val="Tahoma"/>
        <family val="2"/>
      </rPr>
      <t>SW</t>
    </r>
    <r>
      <rPr>
        <sz val="11"/>
        <rFont val="宋体"/>
        <family val="3"/>
        <charset val="134"/>
      </rPr>
      <t>中查询</t>
    </r>
    <phoneticPr fontId="4" type="noConversion"/>
  </si>
  <si>
    <r>
      <rPr>
        <sz val="11"/>
        <color theme="1"/>
        <rFont val="宋体"/>
        <family val="3"/>
        <charset val="134"/>
      </rPr>
      <t>负载</t>
    </r>
    <r>
      <rPr>
        <sz val="11"/>
        <color theme="1"/>
        <rFont val="Tahoma"/>
        <family val="2"/>
      </rPr>
      <t>(</t>
    </r>
    <r>
      <rPr>
        <sz val="11"/>
        <color theme="1"/>
        <rFont val="宋体"/>
        <family val="3"/>
        <charset val="134"/>
      </rPr>
      <t>夹具</t>
    </r>
    <r>
      <rPr>
        <sz val="11"/>
        <color theme="1"/>
        <rFont val="Tahoma"/>
        <family val="2"/>
      </rPr>
      <t>+</t>
    </r>
    <r>
      <rPr>
        <sz val="11"/>
        <color theme="1"/>
        <rFont val="宋体"/>
        <family val="3"/>
        <charset val="134"/>
      </rPr>
      <t>工件</t>
    </r>
    <r>
      <rPr>
        <sz val="11"/>
        <color theme="1"/>
        <rFont val="Tahoma"/>
        <family val="2"/>
      </rPr>
      <t>)</t>
    </r>
    <r>
      <rPr>
        <sz val="11"/>
        <color theme="1"/>
        <rFont val="宋体"/>
        <family val="3"/>
        <charset val="134"/>
      </rPr>
      <t>惯量</t>
    </r>
    <r>
      <rPr>
        <sz val="11"/>
        <color theme="1"/>
        <rFont val="Tahoma"/>
        <family val="2"/>
      </rPr>
      <t>J1(kg.m²)</t>
    </r>
    <phoneticPr fontId="4" type="noConversion"/>
  </si>
  <si>
    <r>
      <t>m*Rp</t>
    </r>
    <r>
      <rPr>
        <vertAlign val="subscript"/>
        <sz val="14"/>
        <rFont val="Tahoma"/>
        <family val="2"/>
      </rPr>
      <t>2</t>
    </r>
    <phoneticPr fontId="4" type="noConversion"/>
  </si>
  <si>
    <r>
      <rPr>
        <sz val="11"/>
        <color theme="1"/>
        <rFont val="宋体"/>
        <family val="3"/>
        <charset val="134"/>
      </rPr>
      <t>摆臂惯量</t>
    </r>
    <r>
      <rPr>
        <sz val="11"/>
        <color theme="1"/>
        <rFont val="Tahoma"/>
        <family val="2"/>
      </rPr>
      <t>J2(kg.m²)</t>
    </r>
    <phoneticPr fontId="4" type="noConversion"/>
  </si>
  <si>
    <t>(J1+J2)/η0</t>
    <phoneticPr fontId="4" type="noConversion"/>
  </si>
  <si>
    <r>
      <t>72</t>
    </r>
    <r>
      <rPr>
        <sz val="11"/>
        <color theme="1"/>
        <rFont val="宋体"/>
        <family val="3"/>
        <charset val="134"/>
        <scheme val="minor"/>
      </rPr>
      <t>π</t>
    </r>
    <r>
      <rPr>
        <sz val="11"/>
        <color theme="1"/>
        <rFont val="Tahoma"/>
        <family val="2"/>
      </rPr>
      <t>Am/Se*(n0/θ)</t>
    </r>
    <r>
      <rPr>
        <vertAlign val="superscript"/>
        <sz val="11"/>
        <color theme="1"/>
        <rFont val="宋体"/>
        <family val="3"/>
        <charset val="134"/>
      </rPr>
      <t>2</t>
    </r>
    <phoneticPr fontId="4" type="noConversion"/>
  </si>
  <si>
    <t>f=m*g*μ</t>
    <phoneticPr fontId="4" type="noConversion"/>
  </si>
  <si>
    <t>f*Rf</t>
    <phoneticPr fontId="4" type="noConversion"/>
  </si>
  <si>
    <r>
      <rPr>
        <sz val="11"/>
        <color theme="1"/>
        <rFont val="宋体"/>
        <family val="3"/>
        <charset val="134"/>
      </rPr>
      <t>外力</t>
    </r>
    <r>
      <rPr>
        <sz val="11"/>
        <color theme="1"/>
        <rFont val="Tahoma"/>
        <family val="2"/>
      </rPr>
      <t>Fa(N</t>
    </r>
    <r>
      <rPr>
        <sz val="11"/>
        <color theme="1"/>
        <rFont val="Tahoma"/>
        <family val="2"/>
      </rPr>
      <t>)</t>
    </r>
    <phoneticPr fontId="4" type="noConversion"/>
  </si>
  <si>
    <r>
      <rPr>
        <sz val="11"/>
        <color theme="1"/>
        <rFont val="宋体"/>
        <family val="3"/>
        <charset val="134"/>
      </rPr>
      <t>摩擦力转矩</t>
    </r>
    <r>
      <rPr>
        <sz val="11"/>
        <color theme="1"/>
        <rFont val="Tahoma"/>
        <family val="2"/>
      </rPr>
      <t>T</t>
    </r>
    <r>
      <rPr>
        <vertAlign val="subscript"/>
        <sz val="14"/>
        <color theme="1"/>
        <rFont val="Tahoma"/>
        <family val="2"/>
      </rPr>
      <t>f(N.m)</t>
    </r>
    <phoneticPr fontId="4" type="noConversion"/>
  </si>
  <si>
    <r>
      <rPr>
        <sz val="11"/>
        <color theme="1"/>
        <rFont val="宋体"/>
        <family val="3"/>
        <charset val="134"/>
      </rPr>
      <t>外力转矩</t>
    </r>
    <r>
      <rPr>
        <sz val="11"/>
        <color theme="1"/>
        <rFont val="Tahoma"/>
        <family val="2"/>
      </rPr>
      <t>T</t>
    </r>
    <r>
      <rPr>
        <vertAlign val="subscript"/>
        <sz val="14"/>
        <color theme="1"/>
        <rFont val="Tahoma"/>
        <family val="2"/>
      </rPr>
      <t>w(N.m)</t>
    </r>
    <phoneticPr fontId="4" type="noConversion"/>
  </si>
  <si>
    <t>Tw=Fa*L</t>
    <phoneticPr fontId="4" type="noConversion"/>
  </si>
  <si>
    <t>T0=Tf+Tj+Tw</t>
    <phoneticPr fontId="4" type="noConversion"/>
  </si>
  <si>
    <t>Tc=Qm(360/Se/θ)Te</t>
    <phoneticPr fontId="4" type="noConversion"/>
  </si>
  <si>
    <r>
      <rPr>
        <sz val="11"/>
        <color theme="1"/>
        <rFont val="宋体"/>
        <family val="3"/>
        <charset val="134"/>
      </rPr>
      <t>附图</t>
    </r>
    <r>
      <rPr>
        <sz val="11"/>
        <color theme="1"/>
        <rFont val="Tahoma"/>
        <family val="2"/>
      </rPr>
      <t>2</t>
    </r>
    <r>
      <rPr>
        <sz val="11"/>
        <color theme="1"/>
        <rFont val="宋体"/>
        <family val="3"/>
        <charset val="134"/>
      </rPr>
      <t>，分割型和摇摆型凸轮区别</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</si>
  <si>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，凸轮分割器内部结构原理如附图</t>
    </r>
    <r>
      <rPr>
        <sz val="11"/>
        <color theme="1"/>
        <rFont val="Tahoma"/>
        <family val="2"/>
      </rPr>
      <t>1(</t>
    </r>
    <r>
      <rPr>
        <sz val="11"/>
        <color theme="1"/>
        <rFont val="宋体"/>
        <family val="3"/>
        <charset val="134"/>
      </rPr>
      <t>黑色为输入轴，绿色为输出轴</t>
    </r>
    <r>
      <rPr>
        <sz val="11"/>
        <color theme="1"/>
        <rFont val="Tahoma"/>
        <family val="2"/>
      </rPr>
      <t>)</t>
    </r>
    <r>
      <rPr>
        <sz val="11"/>
        <color theme="1"/>
        <rFont val="宋体"/>
        <family val="3"/>
        <charset val="134"/>
      </rPr>
      <t xml:space="preserve">；
</t>
    </r>
    <r>
      <rPr>
        <sz val="11"/>
        <color theme="1"/>
        <rFont val="Tahoma"/>
        <family val="2"/>
      </rPr>
      <t xml:space="preserve">    2</t>
    </r>
    <r>
      <rPr>
        <sz val="11"/>
        <color theme="1"/>
        <rFont val="宋体"/>
        <family val="3"/>
        <charset val="134"/>
      </rPr>
      <t>，前三种传动均使用分割型凸轮，最后一种使用摇摆型凸轮，运动方式和内部原理分别如附图</t>
    </r>
    <r>
      <rPr>
        <sz val="11"/>
        <color theme="1"/>
        <rFont val="Tahoma"/>
        <family val="2"/>
      </rPr>
      <t>2</t>
    </r>
    <r>
      <rPr>
        <sz val="11"/>
        <color theme="1"/>
        <rFont val="宋体"/>
        <family val="3"/>
        <charset val="134"/>
      </rPr>
      <t xml:space="preserve">；
</t>
    </r>
    <r>
      <rPr>
        <sz val="11"/>
        <color theme="1"/>
        <rFont val="Tahoma"/>
        <family val="2"/>
      </rPr>
      <t xml:space="preserve">    3</t>
    </r>
    <r>
      <rPr>
        <sz val="11"/>
        <color theme="1"/>
        <rFont val="宋体"/>
        <family val="3"/>
        <charset val="134"/>
      </rPr>
      <t>，分割型凸轮的旋向如附图</t>
    </r>
    <r>
      <rPr>
        <sz val="11"/>
        <color theme="1"/>
        <rFont val="Tahoma"/>
        <family val="2"/>
      </rPr>
      <t>3</t>
    </r>
    <r>
      <rPr>
        <sz val="11"/>
        <color theme="1"/>
        <rFont val="宋体"/>
        <family val="3"/>
        <charset val="134"/>
      </rPr>
      <t>，一般用右旋。</t>
    </r>
    <phoneticPr fontId="4" type="noConversion"/>
  </si>
  <si>
    <t>附图3，分割型凸轮旋向</t>
    <phoneticPr fontId="4" type="noConversion"/>
  </si>
  <si>
    <r>
      <rPr>
        <sz val="12"/>
        <color theme="1"/>
        <rFont val="宋体"/>
        <family val="3"/>
        <charset val="134"/>
      </rPr>
      <t>文档信息
编写：图惜
参考：《凸轮分割器》</t>
    </r>
    <r>
      <rPr>
        <sz val="12"/>
        <color theme="1"/>
        <rFont val="Tahoma"/>
        <family val="2"/>
      </rPr>
      <t>——(</t>
    </r>
    <r>
      <rPr>
        <sz val="12"/>
        <color theme="1"/>
        <rFont val="宋体"/>
        <family val="3"/>
        <charset val="134"/>
      </rPr>
      <t>前桥教育</t>
    </r>
    <r>
      <rPr>
        <sz val="12"/>
        <color theme="1"/>
        <rFont val="Tahoma"/>
        <family val="2"/>
      </rPr>
      <t xml:space="preserve">) </t>
    </r>
    <r>
      <rPr>
        <sz val="12"/>
        <color theme="1"/>
        <rFont val="宋体"/>
        <family val="3"/>
        <charset val="134"/>
      </rPr>
      <t xml:space="preserve">宣言
</t>
    </r>
    <r>
      <rPr>
        <sz val="12"/>
        <color theme="1"/>
        <rFont val="Tahoma"/>
        <family val="2"/>
      </rPr>
      <t xml:space="preserve">         </t>
    </r>
    <r>
      <rPr>
        <sz val="12"/>
        <color theme="1"/>
        <rFont val="宋体"/>
        <family val="3"/>
        <charset val="134"/>
      </rPr>
      <t xml:space="preserve">《步凸轮分割器选型计算及应用实例》
</t>
    </r>
    <r>
      <rPr>
        <sz val="12"/>
        <color theme="1"/>
        <rFont val="Tahoma"/>
        <family val="2"/>
      </rPr>
      <t xml:space="preserve">         </t>
    </r>
    <r>
      <rPr>
        <sz val="12"/>
        <color theme="1"/>
        <rFont val="宋体"/>
        <family val="3"/>
        <charset val="134"/>
      </rPr>
      <t xml:space="preserve">《正名分割器选型目录》
</t>
    </r>
    <r>
      <rPr>
        <sz val="12"/>
        <color theme="1"/>
        <rFont val="宋体"/>
        <family val="3"/>
        <charset val="134"/>
      </rPr>
      <t xml:space="preserve">
</t>
    </r>
    <r>
      <rPr>
        <sz val="12"/>
        <color theme="1"/>
        <rFont val="Tahoma"/>
        <family val="2"/>
      </rPr>
      <t xml:space="preserve">                                                                                                   2019.9.12 </t>
    </r>
    <phoneticPr fontId="4" type="noConversion"/>
  </si>
  <si>
    <r>
      <rPr>
        <sz val="11"/>
        <color theme="1"/>
        <rFont val="宋体"/>
        <family val="3"/>
        <charset val="134"/>
      </rPr>
      <t>附图</t>
    </r>
    <r>
      <rPr>
        <sz val="11"/>
        <color theme="1"/>
        <rFont val="Tahoma"/>
        <family val="2"/>
      </rPr>
      <t>1</t>
    </r>
    <r>
      <rPr>
        <sz val="11"/>
        <color theme="1"/>
        <rFont val="宋体"/>
        <family val="3"/>
        <charset val="134"/>
      </rPr>
      <t>，凸轮分割器内部结构原理</t>
    </r>
    <phoneticPr fontId="4" type="noConversion"/>
  </si>
  <si>
    <r>
      <rPr>
        <sz val="11"/>
        <color theme="1"/>
        <rFont val="宋体"/>
        <family val="3"/>
        <charset val="134"/>
      </rPr>
      <t>负载所需力</t>
    </r>
    <r>
      <rPr>
        <sz val="11"/>
        <color theme="1"/>
        <rFont val="Tahoma"/>
        <family val="2"/>
      </rPr>
      <t>F0(N)</t>
    </r>
    <phoneticPr fontId="4" type="noConversion"/>
  </si>
  <si>
    <r>
      <t>F0=P*</t>
    </r>
    <r>
      <rPr>
        <sz val="11"/>
        <color theme="1"/>
        <rFont val="宋体"/>
        <family val="3"/>
        <charset val="134"/>
        <scheme val="minor"/>
      </rPr>
      <t>π</t>
    </r>
    <r>
      <rPr>
        <sz val="11"/>
        <color theme="1"/>
        <rFont val="Tahoma"/>
        <family val="2"/>
      </rPr>
      <t>(D1/2)²</t>
    </r>
    <phoneticPr fontId="4" type="noConversion"/>
  </si>
  <si>
    <r>
      <rPr>
        <sz val="11"/>
        <color theme="1"/>
        <rFont val="宋体"/>
        <family val="3"/>
        <charset val="134"/>
      </rPr>
      <t>初设杆径</t>
    </r>
    <r>
      <rPr>
        <sz val="11"/>
        <color theme="1"/>
        <rFont val="Tahoma"/>
        <family val="2"/>
      </rPr>
      <t>d0(mm)</t>
    </r>
    <phoneticPr fontId="4" type="noConversion"/>
  </si>
  <si>
    <t>液压缸驱动负载形式</t>
    <phoneticPr fontId="4" type="noConversion"/>
  </si>
  <si>
    <r>
      <rPr>
        <sz val="11"/>
        <color theme="1"/>
        <rFont val="宋体"/>
        <family val="3"/>
        <charset val="134"/>
      </rPr>
      <t>理论推力最小缸径</t>
    </r>
    <r>
      <rPr>
        <sz val="11"/>
        <color theme="1"/>
        <rFont val="Tahoma"/>
        <family val="2"/>
      </rPr>
      <t>D1(mm)</t>
    </r>
    <phoneticPr fontId="4" type="noConversion"/>
  </si>
  <si>
    <r>
      <rPr>
        <sz val="11"/>
        <color theme="1"/>
        <rFont val="宋体"/>
        <family val="3"/>
        <charset val="134"/>
      </rPr>
      <t>理论拉力最小缸径</t>
    </r>
    <r>
      <rPr>
        <sz val="11"/>
        <color theme="1"/>
        <rFont val="Tahoma"/>
        <family val="2"/>
      </rPr>
      <t>D2(mm)</t>
    </r>
    <phoneticPr fontId="4" type="noConversion"/>
  </si>
  <si>
    <r>
      <rPr>
        <sz val="11"/>
        <color theme="1"/>
        <rFont val="宋体"/>
        <family val="3"/>
        <charset val="134"/>
      </rPr>
      <t>所需最小缸径</t>
    </r>
    <r>
      <rPr>
        <sz val="11"/>
        <color theme="1"/>
        <rFont val="Tahoma"/>
        <family val="2"/>
      </rPr>
      <t>D0(mm)</t>
    </r>
    <phoneticPr fontId="4" type="noConversion"/>
  </si>
  <si>
    <r>
      <rPr>
        <sz val="11"/>
        <color theme="1"/>
        <rFont val="宋体"/>
        <family val="3"/>
        <charset val="134"/>
      </rPr>
      <t>选择厂家缸径</t>
    </r>
    <r>
      <rPr>
        <sz val="11"/>
        <color theme="1"/>
        <rFont val="Tahoma"/>
        <family val="2"/>
      </rPr>
      <t>D(mm)</t>
    </r>
    <phoneticPr fontId="4" type="noConversion"/>
  </si>
  <si>
    <r>
      <rPr>
        <sz val="11"/>
        <color theme="1"/>
        <rFont val="宋体"/>
        <family val="3"/>
        <charset val="134"/>
      </rPr>
      <t>选择厂家杆径</t>
    </r>
    <r>
      <rPr>
        <sz val="11"/>
        <color theme="1"/>
        <rFont val="Tahoma"/>
        <family val="2"/>
      </rPr>
      <t>d(mm)</t>
    </r>
    <phoneticPr fontId="4" type="noConversion"/>
  </si>
  <si>
    <t>拉力驱动</t>
  </si>
  <si>
    <r>
      <rPr>
        <sz val="11"/>
        <color theme="1"/>
        <rFont val="宋体"/>
        <family val="3"/>
        <charset val="134"/>
      </rPr>
      <t>驱动力安全系数</t>
    </r>
    <r>
      <rPr>
        <sz val="11"/>
        <color theme="1"/>
        <rFont val="Tahoma"/>
        <family val="2"/>
      </rPr>
      <t>K</t>
    </r>
    <phoneticPr fontId="4" type="noConversion"/>
  </si>
  <si>
    <t>参考表1</t>
    <phoneticPr fontId="4" type="noConversion"/>
  </si>
  <si>
    <t>应用领域</t>
    <phoneticPr fontId="4" type="noConversion"/>
  </si>
  <si>
    <t>常用设备</t>
    <phoneticPr fontId="4" type="noConversion"/>
  </si>
  <si>
    <t>设计压力</t>
    <phoneticPr fontId="4" type="noConversion"/>
  </si>
  <si>
    <t>机床类</t>
    <phoneticPr fontId="4" type="noConversion"/>
  </si>
  <si>
    <r>
      <rPr>
        <sz val="11"/>
        <color theme="1"/>
        <rFont val="宋体"/>
        <family val="3"/>
        <charset val="134"/>
      </rPr>
      <t>精加工机床</t>
    </r>
    <r>
      <rPr>
        <sz val="11"/>
        <color theme="1"/>
        <rFont val="Tahoma"/>
        <family val="2"/>
      </rPr>
      <t>(</t>
    </r>
    <r>
      <rPr>
        <sz val="11"/>
        <color theme="1"/>
        <rFont val="宋体"/>
        <family val="3"/>
        <charset val="134"/>
      </rPr>
      <t>如各类磨床</t>
    </r>
    <r>
      <rPr>
        <sz val="11"/>
        <color theme="1"/>
        <rFont val="Tahoma"/>
        <family val="2"/>
      </rPr>
      <t>)</t>
    </r>
    <phoneticPr fontId="4" type="noConversion"/>
  </si>
  <si>
    <r>
      <rPr>
        <sz val="11"/>
        <color theme="1"/>
        <rFont val="宋体"/>
        <family val="3"/>
        <charset val="134"/>
      </rPr>
      <t>半精加工机床</t>
    </r>
    <r>
      <rPr>
        <sz val="11"/>
        <color theme="1"/>
        <rFont val="Tahoma"/>
        <family val="2"/>
      </rPr>
      <t>(</t>
    </r>
    <r>
      <rPr>
        <sz val="11"/>
        <color theme="1"/>
        <rFont val="宋体"/>
        <family val="3"/>
        <charset val="134"/>
      </rPr>
      <t>如组合机床</t>
    </r>
    <r>
      <rPr>
        <sz val="11"/>
        <color theme="1"/>
        <rFont val="Tahoma"/>
        <family val="2"/>
      </rPr>
      <t>)</t>
    </r>
    <phoneticPr fontId="4" type="noConversion"/>
  </si>
  <si>
    <t>龙门刨床</t>
    <phoneticPr fontId="4" type="noConversion"/>
  </si>
  <si>
    <t>拉床</t>
    <phoneticPr fontId="4" type="noConversion"/>
  </si>
  <si>
    <t>液压机、大中型挖掘机、中性机械、起重运输机械</t>
    <phoneticPr fontId="4" type="noConversion"/>
  </si>
  <si>
    <t>0.8~2</t>
    <phoneticPr fontId="4" type="noConversion"/>
  </si>
  <si>
    <t>2~8</t>
    <phoneticPr fontId="4" type="noConversion"/>
  </si>
  <si>
    <t>20~32</t>
    <phoneticPr fontId="4" type="noConversion"/>
  </si>
  <si>
    <t>0.63  10  1.6  2.5  4.0  6.3  10  16  25  31.5  40</t>
    <phoneticPr fontId="4" type="noConversion"/>
  </si>
  <si>
    <t>表1 液压工作压力参考</t>
    <phoneticPr fontId="4" type="noConversion"/>
  </si>
  <si>
    <t>内径系列</t>
    <phoneticPr fontId="4" type="noConversion"/>
  </si>
  <si>
    <t>活塞系列</t>
    <phoneticPr fontId="4" type="noConversion"/>
  </si>
  <si>
    <t>8  10  12  16  20  25  32  40  50  63  80  (90)  100  (110)   125  (140)  160  (180)  200  (220)  250  (280)  320  (360)  400  (450)  500</t>
    <phoneticPr fontId="4" type="noConversion"/>
  </si>
  <si>
    <t>4  5  6  8  10  12  14  16  18  20  22  25  28  32  36  40  45  50  56  63  70  80  90  100  110  125  140  160  180  200  220  250  280  320  360</t>
    <phoneticPr fontId="4" type="noConversion"/>
  </si>
  <si>
    <t>公称P系列</t>
    <phoneticPr fontId="4" type="noConversion"/>
  </si>
  <si>
    <r>
      <t>2</t>
    </r>
    <r>
      <rPr>
        <sz val="11"/>
        <color theme="1"/>
        <rFont val="宋体"/>
        <family val="3"/>
        <charset val="134"/>
      </rPr>
      <t>，确定行程</t>
    </r>
    <r>
      <rPr>
        <sz val="11"/>
        <color theme="1"/>
        <rFont val="Tahoma"/>
        <family val="2"/>
      </rPr>
      <t xml:space="preserve">, 
     </t>
    </r>
    <r>
      <rPr>
        <sz val="11"/>
        <color theme="1"/>
        <rFont val="宋体"/>
        <family val="3"/>
        <charset val="134"/>
      </rPr>
      <t>安装方式</t>
    </r>
    <phoneticPr fontId="4" type="noConversion"/>
  </si>
  <si>
    <r>
      <t>气缸行程选择</t>
    </r>
    <r>
      <rPr>
        <sz val="11"/>
        <color theme="1"/>
        <rFont val="Tahoma"/>
        <family val="2"/>
      </rPr>
      <t>L(mm)</t>
    </r>
    <phoneticPr fontId="4" type="noConversion"/>
  </si>
  <si>
    <r>
      <rPr>
        <sz val="11"/>
        <color theme="1"/>
        <rFont val="宋体"/>
        <family val="3"/>
        <charset val="134"/>
      </rPr>
      <t>表</t>
    </r>
    <r>
      <rPr>
        <sz val="11"/>
        <color theme="1"/>
        <rFont val="Tahoma"/>
        <family val="2"/>
      </rPr>
      <t xml:space="preserve">2 </t>
    </r>
    <r>
      <rPr>
        <sz val="11"/>
        <color theme="1"/>
        <rFont val="宋体"/>
        <family val="3"/>
        <charset val="134"/>
      </rPr>
      <t>液压缸与活塞杆直径标准系列</t>
    </r>
    <r>
      <rPr>
        <sz val="11"/>
        <color theme="1"/>
        <rFont val="Tahoma"/>
        <family val="2"/>
      </rPr>
      <t>(</t>
    </r>
    <r>
      <rPr>
        <sz val="11"/>
        <color theme="1"/>
        <rFont val="宋体"/>
        <family val="3"/>
        <charset val="134"/>
      </rPr>
      <t>括号内为不推荐系列</t>
    </r>
    <r>
      <rPr>
        <sz val="11"/>
        <color theme="1"/>
        <rFont val="Tahoma"/>
        <family val="2"/>
      </rPr>
      <t>)</t>
    </r>
    <phoneticPr fontId="4" type="noConversion"/>
  </si>
  <si>
    <t>安装方式(选填)</t>
    <phoneticPr fontId="4" type="noConversion"/>
  </si>
  <si>
    <r>
      <t>1</t>
    </r>
    <r>
      <rPr>
        <sz val="11"/>
        <color theme="1"/>
        <rFont val="宋体"/>
        <family val="3"/>
        <charset val="134"/>
      </rPr>
      <t>，缸径和杆径</t>
    </r>
    <phoneticPr fontId="4" type="noConversion"/>
  </si>
  <si>
    <r>
      <rPr>
        <sz val="11"/>
        <color theme="1"/>
        <rFont val="宋体"/>
        <family val="3"/>
        <charset val="134"/>
      </rPr>
      <t>表3</t>
    </r>
    <r>
      <rPr>
        <sz val="11"/>
        <color theme="1"/>
        <rFont val="Tahoma"/>
        <family val="2"/>
      </rPr>
      <t xml:space="preserve"> </t>
    </r>
    <r>
      <rPr>
        <sz val="11"/>
        <color theme="1"/>
        <rFont val="宋体"/>
        <family val="3"/>
        <charset val="134"/>
      </rPr>
      <t>液压缸允许行程长度系列</t>
    </r>
    <r>
      <rPr>
        <sz val="11"/>
        <color theme="1"/>
        <rFont val="Tahoma"/>
        <family val="2"/>
      </rPr>
      <t/>
    </r>
    <phoneticPr fontId="4" type="noConversion"/>
  </si>
  <si>
    <r>
      <rPr>
        <sz val="11"/>
        <color theme="1"/>
        <rFont val="宋体"/>
        <family val="3"/>
        <charset val="134"/>
      </rPr>
      <t>表</t>
    </r>
    <r>
      <rPr>
        <sz val="11"/>
        <color theme="1"/>
        <rFont val="Tahoma"/>
        <family val="2"/>
      </rPr>
      <t xml:space="preserve">4 </t>
    </r>
    <r>
      <rPr>
        <sz val="11"/>
        <color theme="1"/>
        <rFont val="宋体"/>
        <family val="3"/>
        <charset val="134"/>
      </rPr>
      <t>安装方式确定原则</t>
    </r>
    <phoneticPr fontId="4" type="noConversion"/>
  </si>
  <si>
    <t>法兰安装</t>
  </si>
  <si>
    <t>法兰安装</t>
    <phoneticPr fontId="4" type="noConversion"/>
  </si>
  <si>
    <t>适合于液压缸工作过程中固定式安装，其作用力与支承中心处于同一轴线的工况；其安装方式选择位置有端、部、尾部</t>
    <phoneticPr fontId="4" type="noConversion"/>
  </si>
  <si>
    <t>尾部单耳环安装适合于活塞杆端工作过程中沿同一运动平面呈曲线运动时</t>
    <phoneticPr fontId="4" type="noConversion"/>
  </si>
  <si>
    <t>中部固定耳轴安装，耳轴的位置可以布置成使缸体的重量平衡或在端部与尾部之间的任意位置以适应多种用途的需要。</t>
    <phoneticPr fontId="4" type="noConversion"/>
  </si>
  <si>
    <t>尾部耳轴安装与尾部双耳环安装工况相近，选择方法同上</t>
    <phoneticPr fontId="4" type="noConversion"/>
  </si>
  <si>
    <t>端部耳轴安装适合于比尾端或中部位置采用铰支点的缸更小杆径的液压缸</t>
    <phoneticPr fontId="4" type="noConversion"/>
  </si>
  <si>
    <t>脚架安装</t>
    <phoneticPr fontId="4" type="noConversion"/>
  </si>
  <si>
    <r>
      <rPr>
        <sz val="11"/>
        <color theme="1"/>
        <rFont val="宋体"/>
        <family val="3"/>
        <charset val="134"/>
      </rPr>
      <t>适合于液压缸工作过程中固定式安装，其安装平面与缸的中心轴线</t>
    </r>
    <r>
      <rPr>
        <b/>
        <sz val="11"/>
        <color rgb="FFFF0000"/>
        <rFont val="宋体"/>
        <family val="3"/>
        <charset val="134"/>
      </rPr>
      <t>不</t>
    </r>
    <r>
      <rPr>
        <sz val="11"/>
        <color theme="1"/>
        <rFont val="宋体"/>
        <family val="3"/>
        <charset val="134"/>
      </rPr>
      <t>处于同一平面的工况</t>
    </r>
    <phoneticPr fontId="4" type="noConversion"/>
  </si>
  <si>
    <t>铰支安装:
1,尾部单(双)耳环安装</t>
    <phoneticPr fontId="4" type="noConversion"/>
  </si>
  <si>
    <t>铰支安装:
2,端部/中部/尾部耳轴安装</t>
    <phoneticPr fontId="4" type="noConversion"/>
  </si>
  <si>
    <r>
      <rPr>
        <sz val="10"/>
        <color theme="1"/>
        <rFont val="宋体"/>
        <family val="3"/>
        <charset val="134"/>
      </rPr>
      <t>运行速度＞</t>
    </r>
    <r>
      <rPr>
        <sz val="10"/>
        <color theme="1"/>
        <rFont val="Tahoma"/>
        <family val="2"/>
      </rPr>
      <t>100mm/s</t>
    </r>
    <r>
      <rPr>
        <sz val="10"/>
        <color theme="1"/>
        <rFont val="宋体"/>
        <family val="3"/>
        <charset val="134"/>
      </rPr>
      <t>应设缓冲</t>
    </r>
    <phoneticPr fontId="4" type="noConversion"/>
  </si>
  <si>
    <r>
      <rPr>
        <sz val="11"/>
        <color theme="1"/>
        <rFont val="宋体"/>
        <family val="3"/>
        <charset val="134"/>
      </rPr>
      <t>附图</t>
    </r>
    <r>
      <rPr>
        <sz val="11"/>
        <color theme="1"/>
        <rFont val="Tahoma"/>
        <family val="2"/>
      </rPr>
      <t xml:space="preserve"> </t>
    </r>
    <r>
      <rPr>
        <sz val="11"/>
        <color theme="1"/>
        <rFont val="宋体"/>
        <family val="3"/>
        <charset val="134"/>
      </rPr>
      <t>液压缸选型步骤</t>
    </r>
    <phoneticPr fontId="4" type="noConversion"/>
  </si>
  <si>
    <r>
      <rPr>
        <sz val="12"/>
        <color theme="1"/>
        <rFont val="宋体"/>
        <family val="3"/>
        <charset val="134"/>
      </rPr>
      <t>说明：</t>
    </r>
    <r>
      <rPr>
        <sz val="12"/>
        <color theme="1"/>
        <rFont val="Tahoma"/>
        <family val="2"/>
      </rPr>
      <t xml:space="preserve"> 
    1</t>
    </r>
    <r>
      <rPr>
        <sz val="12"/>
        <color theme="1"/>
        <rFont val="宋体"/>
        <family val="3"/>
        <charset val="134"/>
      </rPr>
      <t xml:space="preserve">，液压缸选型步骤如下方附图；
</t>
    </r>
    <r>
      <rPr>
        <sz val="12"/>
        <color theme="1"/>
        <rFont val="Tahoma"/>
        <family val="2"/>
      </rPr>
      <t xml:space="preserve">    2</t>
    </r>
    <r>
      <rPr>
        <sz val="12"/>
        <color theme="1"/>
        <rFont val="宋体"/>
        <family val="3"/>
        <charset val="134"/>
      </rPr>
      <t xml:space="preserve">，行程确定原则：
</t>
    </r>
    <r>
      <rPr>
        <sz val="12"/>
        <color theme="1"/>
        <rFont val="Tahoma"/>
        <family val="2"/>
      </rPr>
      <t xml:space="preserve">  </t>
    </r>
    <r>
      <rPr>
        <sz val="12"/>
        <color theme="1"/>
        <rFont val="宋体"/>
        <family val="3"/>
        <charset val="134"/>
      </rPr>
      <t>（</t>
    </r>
    <r>
      <rPr>
        <sz val="12"/>
        <color theme="1"/>
        <rFont val="Tahoma"/>
        <family val="2"/>
      </rPr>
      <t>1</t>
    </r>
    <r>
      <rPr>
        <sz val="12"/>
        <color theme="1"/>
        <rFont val="宋体"/>
        <family val="3"/>
        <charset val="134"/>
      </rPr>
      <t>）行程</t>
    </r>
    <r>
      <rPr>
        <sz val="12"/>
        <color theme="1"/>
        <rFont val="Tahoma"/>
        <family val="2"/>
      </rPr>
      <t>S=</t>
    </r>
    <r>
      <rPr>
        <sz val="12"/>
        <color theme="1"/>
        <rFont val="宋体"/>
        <family val="3"/>
        <charset val="134"/>
      </rPr>
      <t>实际最大工作行程</t>
    </r>
    <r>
      <rPr>
        <sz val="12"/>
        <color theme="1"/>
        <rFont val="Tahoma"/>
        <family val="2"/>
      </rPr>
      <t>Smax+</t>
    </r>
    <r>
      <rPr>
        <sz val="12"/>
        <color theme="1"/>
        <rFont val="宋体"/>
        <family val="3"/>
        <charset val="134"/>
      </rPr>
      <t>行程富裕量△</t>
    </r>
    <r>
      <rPr>
        <sz val="12"/>
        <color theme="1"/>
        <rFont val="Tahoma"/>
        <family val="2"/>
      </rPr>
      <t>S</t>
    </r>
    <r>
      <rPr>
        <sz val="12"/>
        <color theme="1"/>
        <rFont val="宋体"/>
        <family val="3"/>
        <charset val="134"/>
      </rPr>
      <t xml:space="preserve">；
</t>
    </r>
    <r>
      <rPr>
        <sz val="12"/>
        <color theme="1"/>
        <rFont val="Tahoma"/>
        <family val="2"/>
      </rPr>
      <t xml:space="preserve">  </t>
    </r>
    <r>
      <rPr>
        <sz val="12"/>
        <color theme="1"/>
        <rFont val="宋体"/>
        <family val="3"/>
        <charset val="134"/>
      </rPr>
      <t>（</t>
    </r>
    <r>
      <rPr>
        <sz val="12"/>
        <color theme="1"/>
        <rFont val="Tahoma"/>
        <family val="2"/>
      </rPr>
      <t>2</t>
    </r>
    <r>
      <rPr>
        <sz val="12"/>
        <color theme="1"/>
        <rFont val="宋体"/>
        <family val="3"/>
        <charset val="134"/>
      </rPr>
      <t>）行程富裕量△</t>
    </r>
    <r>
      <rPr>
        <sz val="12"/>
        <color theme="1"/>
        <rFont val="Tahoma"/>
        <family val="2"/>
      </rPr>
      <t>S=</t>
    </r>
    <r>
      <rPr>
        <sz val="12"/>
        <color theme="1"/>
        <rFont val="宋体"/>
        <family val="3"/>
        <charset val="134"/>
      </rPr>
      <t>△</t>
    </r>
    <r>
      <rPr>
        <sz val="12"/>
        <color theme="1"/>
        <rFont val="Tahoma"/>
        <family val="2"/>
      </rPr>
      <t>S1+</t>
    </r>
    <r>
      <rPr>
        <sz val="12"/>
        <color theme="1"/>
        <rFont val="宋体"/>
        <family val="3"/>
        <charset val="134"/>
      </rPr>
      <t>△</t>
    </r>
    <r>
      <rPr>
        <sz val="12"/>
        <color theme="1"/>
        <rFont val="Tahoma"/>
        <family val="2"/>
      </rPr>
      <t>S2+</t>
    </r>
    <r>
      <rPr>
        <sz val="12"/>
        <color theme="1"/>
        <rFont val="宋体"/>
        <family val="3"/>
        <charset val="134"/>
      </rPr>
      <t>△</t>
    </r>
    <r>
      <rPr>
        <sz val="12"/>
        <color theme="1"/>
        <rFont val="Tahoma"/>
        <family val="2"/>
      </rPr>
      <t>S3</t>
    </r>
    <r>
      <rPr>
        <sz val="12"/>
        <color theme="1"/>
        <rFont val="宋体"/>
        <family val="3"/>
        <charset val="134"/>
      </rPr>
      <t xml:space="preserve">。
</t>
    </r>
    <r>
      <rPr>
        <sz val="12"/>
        <color theme="1"/>
        <rFont val="Tahoma"/>
        <family val="2"/>
      </rPr>
      <t xml:space="preserve">    </t>
    </r>
    <r>
      <rPr>
        <sz val="12"/>
        <color theme="1"/>
        <rFont val="宋体"/>
        <family val="3"/>
        <charset val="134"/>
      </rPr>
      <t>一般条件下应综合考虑：系统结构安装尺寸的制造误差需要的行程余量△</t>
    </r>
    <r>
      <rPr>
        <sz val="12"/>
        <color theme="1"/>
        <rFont val="Tahoma"/>
        <family val="2"/>
      </rPr>
      <t>S1</t>
    </r>
    <r>
      <rPr>
        <sz val="12"/>
        <color theme="1"/>
        <rFont val="宋体"/>
        <family val="3"/>
        <charset val="134"/>
      </rPr>
      <t>、液压缸实际工作时在行程始点可能需要的行程余量△</t>
    </r>
    <r>
      <rPr>
        <sz val="12"/>
        <color theme="1"/>
        <rFont val="Tahoma"/>
        <family val="2"/>
      </rPr>
      <t>S2</t>
    </r>
    <r>
      <rPr>
        <sz val="12"/>
        <color theme="1"/>
        <rFont val="宋体"/>
        <family val="3"/>
        <charset val="134"/>
      </rPr>
      <t>，终点可能需要的行程余量△</t>
    </r>
    <r>
      <rPr>
        <sz val="12"/>
        <color theme="1"/>
        <rFont val="Tahoma"/>
        <family val="2"/>
      </rPr>
      <t>S3</t>
    </r>
    <r>
      <rPr>
        <sz val="12"/>
        <color theme="1"/>
        <rFont val="宋体"/>
        <family val="3"/>
        <charset val="134"/>
      </rPr>
      <t>（注意液压缸有缓冲功能要求时：行程富裕量△</t>
    </r>
    <r>
      <rPr>
        <sz val="12"/>
        <color theme="1"/>
        <rFont val="Tahoma"/>
        <family val="2"/>
      </rPr>
      <t>S</t>
    </r>
    <r>
      <rPr>
        <sz val="12"/>
        <color theme="1"/>
        <rFont val="宋体"/>
        <family val="3"/>
        <charset val="134"/>
      </rPr>
      <t>的大小对缓冲功能将会产生直接的影响，建议尽可能减小行程富裕量△</t>
    </r>
    <r>
      <rPr>
        <sz val="12"/>
        <color theme="1"/>
        <rFont val="Tahoma"/>
        <family val="2"/>
      </rPr>
      <t>S</t>
    </r>
    <r>
      <rPr>
        <sz val="12"/>
        <color theme="1"/>
        <rFont val="宋体"/>
        <family val="3"/>
        <charset val="134"/>
      </rPr>
      <t xml:space="preserve">）；
</t>
    </r>
    <r>
      <rPr>
        <sz val="12"/>
        <color theme="1"/>
        <rFont val="Tahoma"/>
        <family val="2"/>
      </rPr>
      <t xml:space="preserve">  </t>
    </r>
    <r>
      <rPr>
        <sz val="12"/>
        <color theme="1"/>
        <rFont val="宋体"/>
        <family val="3"/>
        <charset val="134"/>
      </rPr>
      <t>（</t>
    </r>
    <r>
      <rPr>
        <sz val="12"/>
        <color theme="1"/>
        <rFont val="Tahoma"/>
        <family val="2"/>
      </rPr>
      <t>3</t>
    </r>
    <r>
      <rPr>
        <sz val="12"/>
        <color theme="1"/>
        <rFont val="宋体"/>
        <family val="3"/>
        <charset val="134"/>
      </rPr>
      <t>）液压缸行程一般要选择厂家样本规定的标准行程。特殊设备情况可以定做。</t>
    </r>
    <r>
      <rPr>
        <sz val="12"/>
        <color theme="1"/>
        <rFont val="Tahoma"/>
        <family val="2"/>
      </rPr>
      <t xml:space="preserve">
    2</t>
    </r>
    <r>
      <rPr>
        <sz val="12"/>
        <color theme="1"/>
        <rFont val="宋体"/>
        <family val="3"/>
        <charset val="134"/>
      </rPr>
      <t xml:space="preserve">，缓冲设置的原则为：
</t>
    </r>
    <r>
      <rPr>
        <sz val="12"/>
        <color theme="1"/>
        <rFont val="Tahoma"/>
        <family val="2"/>
      </rPr>
      <t xml:space="preserve">     </t>
    </r>
    <r>
      <rPr>
        <sz val="12"/>
        <color theme="1"/>
        <rFont val="宋体"/>
        <family val="3"/>
        <charset val="134"/>
      </rPr>
      <t>液压缸活塞全行程运行，其往返动行速度大于</t>
    </r>
    <r>
      <rPr>
        <sz val="12"/>
        <color theme="1"/>
        <rFont val="Tahoma"/>
        <family val="2"/>
      </rPr>
      <t>100mm/s</t>
    </r>
    <r>
      <rPr>
        <sz val="12"/>
        <color theme="1"/>
        <rFont val="宋体"/>
        <family val="3"/>
        <charset val="134"/>
      </rPr>
      <t xml:space="preserve">的应选择两端缓冲。
</t>
    </r>
    <r>
      <rPr>
        <sz val="12"/>
        <color theme="1"/>
        <rFont val="Tahoma"/>
        <family val="2"/>
      </rPr>
      <t xml:space="preserve">     </t>
    </r>
    <r>
      <rPr>
        <sz val="12"/>
        <color theme="1"/>
        <rFont val="宋体"/>
        <family val="3"/>
        <charset val="134"/>
      </rPr>
      <t>液压缸活塞单向往</t>
    </r>
    <r>
      <rPr>
        <sz val="12"/>
        <color theme="1"/>
        <rFont val="Tahoma"/>
        <family val="2"/>
      </rPr>
      <t>(</t>
    </r>
    <r>
      <rPr>
        <sz val="12"/>
        <color theme="1"/>
        <rFont val="宋体"/>
        <family val="3"/>
        <charset val="134"/>
      </rPr>
      <t>返</t>
    </r>
    <r>
      <rPr>
        <sz val="12"/>
        <color theme="1"/>
        <rFont val="Tahoma"/>
        <family val="2"/>
      </rPr>
      <t>)</t>
    </r>
    <r>
      <rPr>
        <sz val="12"/>
        <color theme="1"/>
        <rFont val="宋体"/>
        <family val="3"/>
        <charset val="134"/>
      </rPr>
      <t>速度大于</t>
    </r>
    <r>
      <rPr>
        <sz val="12"/>
        <color theme="1"/>
        <rFont val="Tahoma"/>
        <family val="2"/>
      </rPr>
      <t>100mm/s</t>
    </r>
    <r>
      <rPr>
        <sz val="12"/>
        <color theme="1"/>
        <rFont val="宋体"/>
        <family val="3"/>
        <charset val="134"/>
      </rPr>
      <t>且运行至行程端位的工况，应选择一端或两端缓冲。</t>
    </r>
    <phoneticPr fontId="4" type="noConversion"/>
  </si>
  <si>
    <r>
      <rPr>
        <sz val="11"/>
        <color theme="1"/>
        <rFont val="宋体"/>
        <family val="3"/>
        <charset val="134"/>
      </rPr>
      <t xml:space="preserve">文档信息
编写：图惜
参考：《液压油缸选型计算》——浙江汉达机械
</t>
    </r>
    <r>
      <rPr>
        <sz val="11"/>
        <color theme="1"/>
        <rFont val="Tahoma"/>
        <family val="2"/>
      </rPr>
      <t xml:space="preserve">         </t>
    </r>
    <r>
      <rPr>
        <sz val="11"/>
        <color theme="1"/>
        <rFont val="宋体"/>
        <family val="3"/>
        <charset val="134"/>
      </rPr>
      <t xml:space="preserve">《力士乐液压样本》
</t>
    </r>
    <r>
      <rPr>
        <sz val="11"/>
        <color theme="1"/>
        <rFont val="Tahoma"/>
        <family val="2"/>
      </rPr>
      <t xml:space="preserve">                                                                                           2018.9.13</t>
    </r>
    <r>
      <rPr>
        <sz val="11"/>
        <color theme="1"/>
        <rFont val="宋体"/>
        <family val="3"/>
        <charset val="134"/>
      </rPr>
      <t xml:space="preserve">
</t>
    </r>
    <r>
      <rPr>
        <sz val="11"/>
        <color theme="1"/>
        <rFont val="Tahoma"/>
        <family val="2"/>
      </rPr>
      <t xml:space="preserve">      </t>
    </r>
    <phoneticPr fontId="4" type="noConversion"/>
  </si>
  <si>
    <t>液压油缸选型向导</t>
    <phoneticPr fontId="4" type="noConversion"/>
  </si>
  <si>
    <r>
      <t>3</t>
    </r>
    <r>
      <rPr>
        <sz val="11"/>
        <color theme="1"/>
        <rFont val="宋体"/>
        <family val="3"/>
        <charset val="134"/>
      </rPr>
      <t>，缓冲</t>
    </r>
    <r>
      <rPr>
        <sz val="11"/>
        <color theme="1"/>
        <rFont val="Tahoma"/>
        <family val="2"/>
      </rPr>
      <t xml:space="preserve">     </t>
    </r>
    <phoneticPr fontId="4" type="noConversion"/>
  </si>
  <si>
    <t>附 力士乐液压缸尺寸与出力表</t>
    <phoneticPr fontId="4" type="noConversion"/>
  </si>
  <si>
    <t>附 力士乐液压缸行程表</t>
    <phoneticPr fontId="4" type="noConversion"/>
  </si>
  <si>
    <t>根据主机类型选择液压执行器的设计压力</t>
    <phoneticPr fontId="4" type="noConversion"/>
  </si>
  <si>
    <t>根据负载选择液压缸的设计压力</t>
    <phoneticPr fontId="4" type="noConversion"/>
  </si>
  <si>
    <t>农业机械、小型工程机械、工程机械辅助机构</t>
    <phoneticPr fontId="4" type="noConversion"/>
  </si>
  <si>
    <t>地质机械、冶金机械、铁路维护机械</t>
    <phoneticPr fontId="4" type="noConversion"/>
  </si>
  <si>
    <t>25~100</t>
    <phoneticPr fontId="4" type="noConversion"/>
  </si>
  <si>
    <r>
      <rPr>
        <sz val="11"/>
        <color theme="1"/>
        <rFont val="宋体"/>
        <family val="3"/>
        <charset val="134"/>
      </rPr>
      <t>负载轴转矩</t>
    </r>
    <r>
      <rPr>
        <sz val="11"/>
        <color theme="1"/>
        <rFont val="Tahoma"/>
        <family val="2"/>
      </rPr>
      <t>Tl(N.m)</t>
    </r>
    <phoneticPr fontId="4" type="noConversion"/>
  </si>
  <si>
    <t>减速机减速比i</t>
    <phoneticPr fontId="4" type="noConversion"/>
  </si>
  <si>
    <r>
      <rPr>
        <sz val="11"/>
        <color theme="1"/>
        <rFont val="宋体"/>
        <family val="3"/>
        <charset val="134"/>
      </rPr>
      <t>无减速机填</t>
    </r>
    <r>
      <rPr>
        <sz val="11"/>
        <color theme="1"/>
        <rFont val="Tahoma"/>
        <family val="2"/>
      </rPr>
      <t>1</t>
    </r>
    <phoneticPr fontId="4" type="noConversion"/>
  </si>
  <si>
    <r>
      <rPr>
        <sz val="11"/>
        <color theme="1"/>
        <rFont val="宋体"/>
        <family val="3"/>
        <charset val="134"/>
      </rPr>
      <t>一般为</t>
    </r>
    <r>
      <rPr>
        <sz val="11"/>
        <color theme="1"/>
        <rFont val="Tahoma"/>
        <family val="2"/>
      </rPr>
      <t>0.95</t>
    </r>
    <phoneticPr fontId="4" type="noConversion"/>
  </si>
  <si>
    <r>
      <t>1</t>
    </r>
    <r>
      <rPr>
        <sz val="11"/>
        <color theme="1"/>
        <rFont val="宋体"/>
        <family val="3"/>
        <charset val="134"/>
      </rPr>
      <t>，所需马达转矩</t>
    </r>
    <phoneticPr fontId="4" type="noConversion"/>
  </si>
  <si>
    <r>
      <rPr>
        <sz val="11"/>
        <color theme="1"/>
        <rFont val="宋体"/>
        <family val="3"/>
        <charset val="134"/>
      </rPr>
      <t>减速机减速比</t>
    </r>
    <r>
      <rPr>
        <sz val="11"/>
        <color theme="1"/>
        <rFont val="Tahoma"/>
        <family val="2"/>
      </rPr>
      <t>η0</t>
    </r>
    <phoneticPr fontId="4" type="noConversion"/>
  </si>
  <si>
    <t>Tm=Tl/(i*η0*ηm)</t>
    <phoneticPr fontId="4" type="noConversion"/>
  </si>
  <si>
    <r>
      <t>2</t>
    </r>
    <r>
      <rPr>
        <sz val="11"/>
        <color theme="1"/>
        <rFont val="宋体"/>
        <family val="3"/>
        <charset val="134"/>
      </rPr>
      <t>，所需转速</t>
    </r>
    <phoneticPr fontId="4" type="noConversion"/>
  </si>
  <si>
    <r>
      <rPr>
        <sz val="11"/>
        <color theme="1"/>
        <rFont val="宋体"/>
        <family val="3"/>
        <charset val="134"/>
      </rPr>
      <t>负载转速</t>
    </r>
    <r>
      <rPr>
        <sz val="11"/>
        <color theme="1"/>
        <rFont val="Tahoma"/>
        <family val="2"/>
      </rPr>
      <t>nl(r/min)</t>
    </r>
    <phoneticPr fontId="4" type="noConversion"/>
  </si>
  <si>
    <r>
      <rPr>
        <sz val="11"/>
        <color theme="1"/>
        <rFont val="宋体"/>
        <family val="3"/>
        <charset val="134"/>
      </rPr>
      <t>所需马达转速</t>
    </r>
    <r>
      <rPr>
        <sz val="11"/>
        <color theme="1"/>
        <rFont val="Tahoma"/>
        <family val="2"/>
      </rPr>
      <t>nm(r/min)</t>
    </r>
    <phoneticPr fontId="4" type="noConversion"/>
  </si>
  <si>
    <t>nm=nl*i</t>
    <phoneticPr fontId="4" type="noConversion"/>
  </si>
  <si>
    <t>参考表1</t>
    <phoneticPr fontId="4" type="noConversion"/>
  </si>
  <si>
    <r>
      <t>3</t>
    </r>
    <r>
      <rPr>
        <sz val="11"/>
        <color theme="1"/>
        <rFont val="宋体"/>
        <family val="3"/>
        <charset val="134"/>
      </rPr>
      <t>，选择马达型号</t>
    </r>
    <phoneticPr fontId="4" type="noConversion"/>
  </si>
  <si>
    <r>
      <rPr>
        <sz val="11"/>
        <color theme="1"/>
        <rFont val="宋体"/>
        <family val="3"/>
        <charset val="134"/>
      </rPr>
      <t>所需马达最小转矩</t>
    </r>
    <r>
      <rPr>
        <sz val="11"/>
        <color theme="1"/>
        <rFont val="Tahoma"/>
        <family val="2"/>
      </rPr>
      <t>Tm(N.m)</t>
    </r>
    <phoneticPr fontId="4" type="noConversion"/>
  </si>
  <si>
    <r>
      <rPr>
        <sz val="11"/>
        <color theme="1"/>
        <rFont val="宋体"/>
        <family val="3"/>
        <charset val="134"/>
      </rPr>
      <t>系统工作压力</t>
    </r>
    <r>
      <rPr>
        <sz val="11"/>
        <color theme="1"/>
        <rFont val="Tahoma"/>
        <family val="2"/>
      </rPr>
      <t>P(MPa)</t>
    </r>
    <phoneticPr fontId="4" type="noConversion"/>
  </si>
  <si>
    <r>
      <rPr>
        <sz val="11"/>
        <color theme="1"/>
        <rFont val="宋体"/>
        <family val="3"/>
        <charset val="134"/>
      </rPr>
      <t>马达进出口压力差△</t>
    </r>
    <r>
      <rPr>
        <sz val="11"/>
        <color theme="1"/>
        <rFont val="Tahoma"/>
        <family val="2"/>
      </rPr>
      <t>P(MPa)</t>
    </r>
    <phoneticPr fontId="4" type="noConversion"/>
  </si>
  <si>
    <r>
      <rPr>
        <sz val="11"/>
        <color theme="1"/>
        <rFont val="宋体"/>
        <family val="3"/>
        <charset val="134"/>
      </rPr>
      <t>电机额定转矩</t>
    </r>
    <r>
      <rPr>
        <sz val="11"/>
        <color theme="1"/>
        <rFont val="Tahoma"/>
        <family val="2"/>
      </rPr>
      <t>T(N.m)</t>
    </r>
    <phoneticPr fontId="4" type="noConversion"/>
  </si>
  <si>
    <r>
      <rPr>
        <sz val="11"/>
        <color theme="1"/>
        <rFont val="宋体"/>
        <family val="3"/>
        <charset val="134"/>
      </rPr>
      <t>液压马达机械效率</t>
    </r>
    <r>
      <rPr>
        <sz val="11"/>
        <color theme="1"/>
        <rFont val="Tahoma"/>
        <family val="2"/>
      </rPr>
      <t>ηm</t>
    </r>
    <phoneticPr fontId="4" type="noConversion"/>
  </si>
  <si>
    <r>
      <rPr>
        <sz val="11"/>
        <color theme="1"/>
        <rFont val="宋体"/>
        <family val="3"/>
        <charset val="134"/>
      </rPr>
      <t>一般为</t>
    </r>
    <r>
      <rPr>
        <sz val="11"/>
        <color theme="1"/>
        <rFont val="Tahoma"/>
        <family val="2"/>
      </rPr>
      <t>0.9</t>
    </r>
    <phoneticPr fontId="4" type="noConversion"/>
  </si>
  <si>
    <r>
      <rPr>
        <sz val="11"/>
        <color theme="1"/>
        <rFont val="宋体"/>
        <family val="3"/>
        <charset val="134"/>
      </rPr>
      <t>液压马达容积效率</t>
    </r>
    <r>
      <rPr>
        <sz val="11"/>
        <color theme="1"/>
        <rFont val="Tahoma"/>
        <family val="2"/>
      </rPr>
      <t>ηv</t>
    </r>
    <phoneticPr fontId="4" type="noConversion"/>
  </si>
  <si>
    <r>
      <t>P=2</t>
    </r>
    <r>
      <rPr>
        <sz val="11"/>
        <color theme="1"/>
        <rFont val="宋体"/>
        <family val="3"/>
        <charset val="134"/>
        <scheme val="minor"/>
      </rPr>
      <t>π</t>
    </r>
    <r>
      <rPr>
        <sz val="11"/>
        <color theme="1"/>
        <rFont val="Tahoma"/>
        <family val="2"/>
      </rPr>
      <t>*T*n/60000</t>
    </r>
    <phoneticPr fontId="4" type="noConversion"/>
  </si>
  <si>
    <r>
      <rPr>
        <sz val="12"/>
        <color theme="1"/>
        <rFont val="宋体"/>
        <family val="3"/>
        <charset val="134"/>
      </rPr>
      <t>说明：</t>
    </r>
    <r>
      <rPr>
        <sz val="12"/>
        <color theme="1"/>
        <rFont val="Tahoma"/>
        <family val="2"/>
      </rPr>
      <t xml:space="preserve"> 
    1</t>
    </r>
    <r>
      <rPr>
        <sz val="12"/>
        <color theme="1"/>
        <rFont val="宋体"/>
        <family val="3"/>
        <charset val="134"/>
      </rPr>
      <t>，液压马达可分为高速马达</t>
    </r>
    <r>
      <rPr>
        <sz val="12"/>
        <color theme="1"/>
        <rFont val="Tahoma"/>
        <family val="2"/>
      </rPr>
      <t>(&gt;500rpm)</t>
    </r>
    <r>
      <rPr>
        <sz val="12"/>
        <color theme="1"/>
        <rFont val="宋体"/>
        <family val="3"/>
        <charset val="134"/>
      </rPr>
      <t>和低速马达</t>
    </r>
    <r>
      <rPr>
        <sz val="12"/>
        <color theme="1"/>
        <rFont val="Tahoma"/>
        <family val="2"/>
      </rPr>
      <t>(&lt;500rpm)</t>
    </r>
    <r>
      <rPr>
        <sz val="12"/>
        <color theme="1"/>
        <rFont val="宋体"/>
        <family val="3"/>
        <charset val="134"/>
      </rPr>
      <t xml:space="preserve">。
</t>
    </r>
    <r>
      <rPr>
        <sz val="12"/>
        <color theme="1"/>
        <rFont val="Tahoma"/>
        <family val="2"/>
      </rPr>
      <t xml:space="preserve">    </t>
    </r>
    <r>
      <rPr>
        <sz val="12"/>
        <color theme="1"/>
        <rFont val="宋体"/>
        <family val="3"/>
        <charset val="134"/>
      </rPr>
      <t xml:space="preserve">高速马达有：齿轮马达、叶片马达、螺杆马达、轴向柱塞马达，高速马达具有转动惯量小，便于起动、制动，输出扭矩不大。
</t>
    </r>
    <r>
      <rPr>
        <sz val="12"/>
        <color theme="1"/>
        <rFont val="Tahoma"/>
        <family val="2"/>
      </rPr>
      <t xml:space="preserve">    </t>
    </r>
    <r>
      <rPr>
        <sz val="12"/>
        <color theme="1"/>
        <rFont val="宋体"/>
        <family val="3"/>
        <charset val="134"/>
      </rPr>
      <t xml:space="preserve">低速马达：径向柱塞马达。其特点是排量大，体积大，转速低，输出扭矩大称低速大扭矩马达。
</t>
    </r>
    <r>
      <rPr>
        <sz val="12"/>
        <color theme="1"/>
        <rFont val="Tahoma"/>
        <family val="2"/>
      </rPr>
      <t xml:space="preserve">    2</t>
    </r>
    <r>
      <rPr>
        <sz val="12"/>
        <color theme="1"/>
        <rFont val="宋体"/>
        <family val="3"/>
        <charset val="134"/>
      </rPr>
      <t>，液压马达在额定负荷下，不出现爬行（抖动和时转时停）现象的最低转速</t>
    </r>
    <r>
      <rPr>
        <sz val="12"/>
        <color theme="1"/>
        <rFont val="Tahoma"/>
        <family val="2"/>
      </rPr>
      <t>:</t>
    </r>
    <r>
      <rPr>
        <sz val="12"/>
        <color theme="1"/>
        <rFont val="宋体"/>
        <family val="3"/>
        <charset val="134"/>
      </rPr>
      <t xml:space="preserve">
多作用内曲线马达：</t>
    </r>
    <r>
      <rPr>
        <sz val="12"/>
        <color theme="1"/>
        <rFont val="Tahoma"/>
        <family val="2"/>
      </rPr>
      <t>0.1</t>
    </r>
    <r>
      <rPr>
        <sz val="12"/>
        <color theme="1"/>
        <rFont val="宋体"/>
        <family val="3"/>
        <charset val="134"/>
      </rPr>
      <t>～</t>
    </r>
    <r>
      <rPr>
        <sz val="12"/>
        <color theme="1"/>
        <rFont val="Tahoma"/>
        <family val="2"/>
      </rPr>
      <t xml:space="preserve">1rpm
</t>
    </r>
    <r>
      <rPr>
        <sz val="12"/>
        <color theme="1"/>
        <rFont val="宋体"/>
        <family val="3"/>
        <charset val="134"/>
      </rPr>
      <t>曲轴连杆马达：</t>
    </r>
    <r>
      <rPr>
        <sz val="12"/>
        <color theme="1"/>
        <rFont val="Tahoma"/>
        <family val="2"/>
      </rPr>
      <t>2</t>
    </r>
    <r>
      <rPr>
        <sz val="12"/>
        <color theme="1"/>
        <rFont val="宋体"/>
        <family val="3"/>
        <charset val="134"/>
      </rPr>
      <t>～</t>
    </r>
    <r>
      <rPr>
        <sz val="12"/>
        <color theme="1"/>
        <rFont val="Tahoma"/>
        <family val="2"/>
      </rPr>
      <t xml:space="preserve">3rpm
</t>
    </r>
    <r>
      <rPr>
        <sz val="12"/>
        <color theme="1"/>
        <rFont val="宋体"/>
        <family val="3"/>
        <charset val="134"/>
      </rPr>
      <t>静压平衡马达：</t>
    </r>
    <r>
      <rPr>
        <sz val="12"/>
        <color theme="1"/>
        <rFont val="Tahoma"/>
        <family val="2"/>
      </rPr>
      <t>2</t>
    </r>
    <r>
      <rPr>
        <sz val="12"/>
        <color theme="1"/>
        <rFont val="宋体"/>
        <family val="3"/>
        <charset val="134"/>
      </rPr>
      <t>～</t>
    </r>
    <r>
      <rPr>
        <sz val="12"/>
        <color theme="1"/>
        <rFont val="Tahoma"/>
        <family val="2"/>
      </rPr>
      <t xml:space="preserve">3rpm
</t>
    </r>
    <r>
      <rPr>
        <sz val="12"/>
        <color theme="1"/>
        <rFont val="宋体"/>
        <family val="3"/>
        <charset val="134"/>
      </rPr>
      <t>轴向柱塞马达：</t>
    </r>
    <r>
      <rPr>
        <sz val="12"/>
        <color theme="1"/>
        <rFont val="Tahoma"/>
        <family val="2"/>
      </rPr>
      <t>30</t>
    </r>
    <r>
      <rPr>
        <sz val="12"/>
        <color theme="1"/>
        <rFont val="宋体"/>
        <family val="3"/>
        <charset val="134"/>
      </rPr>
      <t>～</t>
    </r>
    <r>
      <rPr>
        <sz val="12"/>
        <color theme="1"/>
        <rFont val="Tahoma"/>
        <family val="2"/>
      </rPr>
      <t>50rpm</t>
    </r>
    <r>
      <rPr>
        <sz val="12"/>
        <color theme="1"/>
        <rFont val="宋体"/>
        <family val="3"/>
        <charset val="134"/>
      </rPr>
      <t>，有的可低至</t>
    </r>
    <r>
      <rPr>
        <sz val="12"/>
        <color theme="1"/>
        <rFont val="Tahoma"/>
        <family val="2"/>
      </rPr>
      <t>2</t>
    </r>
    <r>
      <rPr>
        <sz val="12"/>
        <color theme="1"/>
        <rFont val="宋体"/>
        <family val="3"/>
        <charset val="134"/>
      </rPr>
      <t>～</t>
    </r>
    <r>
      <rPr>
        <sz val="12"/>
        <color theme="1"/>
        <rFont val="Tahoma"/>
        <family val="2"/>
      </rPr>
      <t xml:space="preserve">5rpm
</t>
    </r>
    <r>
      <rPr>
        <sz val="12"/>
        <color theme="1"/>
        <rFont val="宋体"/>
        <family val="3"/>
        <charset val="134"/>
      </rPr>
      <t>高速叶片马达：</t>
    </r>
    <r>
      <rPr>
        <sz val="12"/>
        <color theme="1"/>
        <rFont val="Tahoma"/>
        <family val="2"/>
      </rPr>
      <t>50</t>
    </r>
    <r>
      <rPr>
        <sz val="12"/>
        <color theme="1"/>
        <rFont val="宋体"/>
        <family val="3"/>
        <charset val="134"/>
      </rPr>
      <t>～</t>
    </r>
    <r>
      <rPr>
        <sz val="12"/>
        <color theme="1"/>
        <rFont val="Tahoma"/>
        <family val="2"/>
      </rPr>
      <t xml:space="preserve">100rpm
</t>
    </r>
    <r>
      <rPr>
        <sz val="12"/>
        <color theme="1"/>
        <rFont val="宋体"/>
        <family val="3"/>
        <charset val="134"/>
      </rPr>
      <t>低速大扭矩叶片马达约为</t>
    </r>
    <r>
      <rPr>
        <sz val="12"/>
        <color theme="1"/>
        <rFont val="Tahoma"/>
        <family val="2"/>
      </rPr>
      <t xml:space="preserve">5rpm
</t>
    </r>
    <r>
      <rPr>
        <sz val="12"/>
        <color theme="1"/>
        <rFont val="宋体"/>
        <family val="3"/>
        <charset val="134"/>
      </rPr>
      <t>齿轮马达的低速性能最差</t>
    </r>
    <r>
      <rPr>
        <sz val="12"/>
        <color theme="1"/>
        <rFont val="Tahoma"/>
        <family val="2"/>
      </rPr>
      <t>,</t>
    </r>
    <r>
      <rPr>
        <sz val="12"/>
        <color theme="1"/>
        <rFont val="宋体"/>
        <family val="3"/>
        <charset val="134"/>
      </rPr>
      <t>其最低稳定转速一般</t>
    </r>
    <r>
      <rPr>
        <sz val="12"/>
        <color theme="1"/>
        <rFont val="Tahoma"/>
        <family val="2"/>
      </rPr>
      <t>200</t>
    </r>
    <r>
      <rPr>
        <sz val="12"/>
        <color theme="1"/>
        <rFont val="宋体"/>
        <family val="3"/>
        <charset val="134"/>
      </rPr>
      <t>～</t>
    </r>
    <r>
      <rPr>
        <sz val="12"/>
        <color theme="1"/>
        <rFont val="Tahoma"/>
        <family val="2"/>
      </rPr>
      <t>300rpm,</t>
    </r>
    <r>
      <rPr>
        <sz val="12"/>
        <color theme="1"/>
        <rFont val="宋体"/>
        <family val="3"/>
        <charset val="134"/>
      </rPr>
      <t>个别可到</t>
    </r>
    <r>
      <rPr>
        <sz val="12"/>
        <color theme="1"/>
        <rFont val="Tahoma"/>
        <family val="2"/>
      </rPr>
      <t>50</t>
    </r>
    <r>
      <rPr>
        <sz val="12"/>
        <color theme="1"/>
        <rFont val="宋体"/>
        <family val="3"/>
        <charset val="134"/>
      </rPr>
      <t>～</t>
    </r>
    <r>
      <rPr>
        <sz val="12"/>
        <color theme="1"/>
        <rFont val="Tahoma"/>
        <family val="2"/>
      </rPr>
      <t>100rpm
    3</t>
    </r>
    <r>
      <rPr>
        <sz val="12"/>
        <color theme="1"/>
        <rFont val="宋体"/>
        <family val="3"/>
        <charset val="134"/>
      </rPr>
      <t>，公式说明：</t>
    </r>
    <r>
      <rPr>
        <sz val="12"/>
        <color theme="1"/>
        <rFont val="Tahoma"/>
        <family val="2"/>
      </rPr>
      <t>(</t>
    </r>
    <r>
      <rPr>
        <sz val="12"/>
        <color theme="1"/>
        <rFont val="宋体"/>
        <family val="3"/>
        <charset val="134"/>
      </rPr>
      <t>注意单位换算，标准单位为</t>
    </r>
    <r>
      <rPr>
        <sz val="12"/>
        <color theme="1"/>
        <rFont val="Tahoma"/>
        <family val="2"/>
      </rPr>
      <t>pa</t>
    </r>
    <r>
      <rPr>
        <sz val="12"/>
        <color theme="1"/>
        <rFont val="宋体"/>
        <family val="3"/>
        <charset val="134"/>
      </rPr>
      <t>，</t>
    </r>
    <r>
      <rPr>
        <sz val="12"/>
        <color theme="1"/>
        <rFont val="Tahoma"/>
        <family val="2"/>
      </rPr>
      <t>m³</t>
    </r>
    <r>
      <rPr>
        <sz val="12"/>
        <color theme="1"/>
        <rFont val="宋体"/>
        <family val="3"/>
        <charset val="134"/>
      </rPr>
      <t>，</t>
    </r>
    <r>
      <rPr>
        <sz val="12"/>
        <color theme="1"/>
        <rFont val="Tahoma"/>
        <family val="2"/>
      </rPr>
      <t>r/s</t>
    </r>
    <r>
      <rPr>
        <sz val="12"/>
        <color theme="1"/>
        <rFont val="宋体"/>
        <family val="3"/>
        <charset val="134"/>
      </rPr>
      <t>，</t>
    </r>
    <r>
      <rPr>
        <sz val="12"/>
        <color theme="1"/>
        <rFont val="Tahoma"/>
        <family val="2"/>
      </rPr>
      <t>N.m</t>
    </r>
    <r>
      <rPr>
        <sz val="12"/>
        <color theme="1"/>
        <rFont val="宋体"/>
        <family val="3"/>
        <charset val="134"/>
      </rPr>
      <t>，</t>
    </r>
    <r>
      <rPr>
        <sz val="12"/>
        <color theme="1"/>
        <rFont val="Tahoma"/>
        <family val="2"/>
      </rPr>
      <t>w</t>
    </r>
    <r>
      <rPr>
        <sz val="12"/>
        <color theme="1"/>
        <rFont val="宋体"/>
        <family val="3"/>
        <charset val="134"/>
      </rPr>
      <t>；其中</t>
    </r>
    <r>
      <rPr>
        <sz val="12"/>
        <color theme="1"/>
        <rFont val="Tahoma"/>
        <family val="2"/>
      </rPr>
      <t>Q</t>
    </r>
    <r>
      <rPr>
        <sz val="12"/>
        <color theme="1"/>
        <rFont val="宋体"/>
        <family val="3"/>
        <charset val="134"/>
      </rPr>
      <t>为流量，</t>
    </r>
    <r>
      <rPr>
        <sz val="12"/>
        <color theme="1"/>
        <rFont val="Tahoma"/>
        <family val="2"/>
      </rPr>
      <t>q</t>
    </r>
    <r>
      <rPr>
        <sz val="12"/>
        <color theme="1"/>
        <rFont val="宋体"/>
        <family val="3"/>
        <charset val="134"/>
      </rPr>
      <t>为每转排量，△</t>
    </r>
    <r>
      <rPr>
        <sz val="12"/>
        <color theme="1"/>
        <rFont val="Tahoma"/>
        <family val="2"/>
      </rPr>
      <t>P</t>
    </r>
    <r>
      <rPr>
        <sz val="12"/>
        <color theme="1"/>
        <rFont val="宋体"/>
        <family val="3"/>
        <charset val="134"/>
      </rPr>
      <t>进出口压差，</t>
    </r>
    <r>
      <rPr>
        <sz val="12"/>
        <color theme="1"/>
        <rFont val="Tahoma"/>
        <family val="2"/>
      </rPr>
      <t>ηm</t>
    </r>
    <r>
      <rPr>
        <sz val="12"/>
        <color theme="1"/>
        <rFont val="宋体"/>
        <family val="3"/>
        <charset val="134"/>
      </rPr>
      <t>为机械效率，</t>
    </r>
    <r>
      <rPr>
        <sz val="12"/>
        <color theme="1"/>
        <rFont val="Tahoma"/>
        <family val="2"/>
      </rPr>
      <t>ηv</t>
    </r>
    <r>
      <rPr>
        <sz val="12"/>
        <color theme="1"/>
        <rFont val="宋体"/>
        <family val="3"/>
        <charset val="134"/>
      </rPr>
      <t>为容积效率，</t>
    </r>
    <r>
      <rPr>
        <sz val="12"/>
        <color theme="1"/>
        <rFont val="Tahoma"/>
        <family val="2"/>
      </rPr>
      <t xml:space="preserve">η=ηv*ηm)
</t>
    </r>
    <r>
      <rPr>
        <sz val="12"/>
        <color theme="1"/>
        <rFont val="宋体"/>
        <family val="3"/>
        <charset val="134"/>
      </rPr>
      <t xml:space="preserve">
理论马达转速：</t>
    </r>
    <r>
      <rPr>
        <sz val="12"/>
        <color theme="1"/>
        <rFont val="Tahoma"/>
        <family val="2"/>
      </rPr>
      <t xml:space="preserve">                   </t>
    </r>
    <r>
      <rPr>
        <sz val="12"/>
        <color theme="1"/>
        <rFont val="宋体"/>
        <family val="3"/>
        <charset val="134"/>
      </rPr>
      <t>，实际转速：
理论输出扭矩：</t>
    </r>
    <r>
      <rPr>
        <sz val="12"/>
        <color theme="1"/>
        <rFont val="Tahoma"/>
        <family val="2"/>
      </rPr>
      <t xml:space="preserve">                   </t>
    </r>
    <r>
      <rPr>
        <sz val="12"/>
        <color theme="1"/>
        <rFont val="宋体"/>
        <family val="3"/>
        <charset val="134"/>
      </rPr>
      <t>，实际扭矩：
理论输出功率：</t>
    </r>
    <r>
      <rPr>
        <sz val="12"/>
        <color theme="1"/>
        <rFont val="Tahoma"/>
        <family val="2"/>
      </rPr>
      <t xml:space="preserve">                                     </t>
    </r>
    <r>
      <rPr>
        <sz val="12"/>
        <color theme="1"/>
        <rFont val="宋体"/>
        <family val="3"/>
        <charset val="134"/>
      </rPr>
      <t>，实际功率：
效率的含义：η</t>
    </r>
    <r>
      <rPr>
        <sz val="12"/>
        <color theme="1"/>
        <rFont val="Tahoma"/>
        <family val="2"/>
      </rPr>
      <t>v=(</t>
    </r>
    <r>
      <rPr>
        <sz val="12"/>
        <color theme="1"/>
        <rFont val="宋体"/>
        <family val="3"/>
        <charset val="134"/>
      </rPr>
      <t>输入流量</t>
    </r>
    <r>
      <rPr>
        <sz val="12"/>
        <color theme="1"/>
        <rFont val="Tahoma"/>
        <family val="2"/>
      </rPr>
      <t>Q-</t>
    </r>
    <r>
      <rPr>
        <sz val="12"/>
        <color theme="1"/>
        <rFont val="宋体"/>
        <family val="3"/>
        <charset val="134"/>
      </rPr>
      <t>泄露△</t>
    </r>
    <r>
      <rPr>
        <sz val="12"/>
        <color theme="1"/>
        <rFont val="Tahoma"/>
        <family val="2"/>
      </rPr>
      <t>Q)/</t>
    </r>
    <r>
      <rPr>
        <sz val="12"/>
        <color theme="1"/>
        <rFont val="宋体"/>
        <family val="3"/>
        <charset val="134"/>
      </rPr>
      <t>输入流量</t>
    </r>
    <r>
      <rPr>
        <sz val="12"/>
        <color theme="1"/>
        <rFont val="Tahoma"/>
        <family val="2"/>
      </rPr>
      <t>Q</t>
    </r>
    <r>
      <rPr>
        <sz val="12"/>
        <color theme="1"/>
        <rFont val="宋体"/>
        <family val="3"/>
        <charset val="134"/>
      </rPr>
      <t>，</t>
    </r>
    <r>
      <rPr>
        <sz val="12"/>
        <color theme="1"/>
        <rFont val="Tahoma"/>
        <family val="2"/>
      </rPr>
      <t xml:space="preserve"> 
                   </t>
    </r>
    <r>
      <rPr>
        <sz val="12"/>
        <color theme="1"/>
        <rFont val="宋体"/>
        <family val="3"/>
        <charset val="134"/>
      </rPr>
      <t>η</t>
    </r>
    <r>
      <rPr>
        <sz val="12"/>
        <color theme="1"/>
        <rFont val="Tahoma"/>
        <family val="2"/>
      </rPr>
      <t>m=(</t>
    </r>
    <r>
      <rPr>
        <sz val="12"/>
        <color theme="1"/>
        <rFont val="宋体"/>
        <family val="3"/>
        <charset val="134"/>
      </rPr>
      <t>输入扭矩</t>
    </r>
    <r>
      <rPr>
        <sz val="12"/>
        <color theme="1"/>
        <rFont val="Tahoma"/>
        <family val="2"/>
      </rPr>
      <t>T-</t>
    </r>
    <r>
      <rPr>
        <sz val="12"/>
        <color theme="1"/>
        <rFont val="宋体"/>
        <family val="3"/>
        <charset val="134"/>
      </rPr>
      <t>摩擦损耗△</t>
    </r>
    <r>
      <rPr>
        <sz val="12"/>
        <color theme="1"/>
        <rFont val="Tahoma"/>
        <family val="2"/>
      </rPr>
      <t>T</t>
    </r>
    <r>
      <rPr>
        <sz val="12"/>
        <color theme="1"/>
        <rFont val="宋体"/>
        <family val="3"/>
        <charset val="134"/>
      </rPr>
      <t>）</t>
    </r>
    <r>
      <rPr>
        <sz val="12"/>
        <color theme="1"/>
        <rFont val="Tahoma"/>
        <family val="2"/>
      </rPr>
      <t>/</t>
    </r>
    <r>
      <rPr>
        <sz val="12"/>
        <color theme="1"/>
        <rFont val="宋体"/>
        <family val="3"/>
        <charset val="134"/>
      </rPr>
      <t>输入扭矩</t>
    </r>
    <r>
      <rPr>
        <sz val="12"/>
        <color theme="1"/>
        <rFont val="Tahoma"/>
        <family val="2"/>
      </rPr>
      <t xml:space="preserve">T
</t>
    </r>
    <phoneticPr fontId="4" type="noConversion"/>
  </si>
  <si>
    <r>
      <rPr>
        <sz val="11"/>
        <color theme="1"/>
        <rFont val="宋体"/>
        <family val="3"/>
        <charset val="134"/>
      </rPr>
      <t>文档信息
编写：图惜
参考：《液压马达选型计算》——</t>
    </r>
    <r>
      <rPr>
        <sz val="11"/>
        <color theme="1"/>
        <rFont val="Tahoma"/>
        <family val="2"/>
      </rPr>
      <t>(</t>
    </r>
    <r>
      <rPr>
        <sz val="11"/>
        <color theme="1"/>
        <rFont val="宋体"/>
        <family val="3"/>
        <charset val="134"/>
      </rPr>
      <t>前桥教育</t>
    </r>
    <r>
      <rPr>
        <sz val="11"/>
        <color theme="1"/>
        <rFont val="Tahoma"/>
        <family val="2"/>
      </rPr>
      <t>)</t>
    </r>
    <r>
      <rPr>
        <sz val="11"/>
        <color theme="1"/>
        <rFont val="宋体"/>
        <family val="3"/>
        <charset val="134"/>
      </rPr>
      <t xml:space="preserve">宣言
</t>
    </r>
    <r>
      <rPr>
        <sz val="11"/>
        <color theme="1"/>
        <rFont val="Tahoma"/>
        <family val="2"/>
      </rPr>
      <t xml:space="preserve">         </t>
    </r>
    <r>
      <rPr>
        <sz val="11"/>
        <color theme="1"/>
        <rFont val="宋体"/>
        <family val="3"/>
        <charset val="134"/>
      </rPr>
      <t xml:space="preserve">《液压马达选型必备》
</t>
    </r>
    <r>
      <rPr>
        <sz val="11"/>
        <color theme="1"/>
        <rFont val="Tahoma"/>
        <family val="2"/>
      </rPr>
      <t xml:space="preserve">                                                                                           2018.9.13</t>
    </r>
    <r>
      <rPr>
        <sz val="11"/>
        <color theme="1"/>
        <rFont val="宋体"/>
        <family val="3"/>
        <charset val="134"/>
      </rPr>
      <t xml:space="preserve">
</t>
    </r>
    <r>
      <rPr>
        <sz val="11"/>
        <color theme="1"/>
        <rFont val="Tahoma"/>
        <family val="2"/>
      </rPr>
      <t xml:space="preserve">      </t>
    </r>
    <phoneticPr fontId="4" type="noConversion"/>
  </si>
  <si>
    <r>
      <rPr>
        <sz val="11"/>
        <color theme="1"/>
        <rFont val="宋体"/>
        <family val="3"/>
        <charset val="134"/>
      </rPr>
      <t>马达所需流量Q</t>
    </r>
    <r>
      <rPr>
        <sz val="11"/>
        <color theme="1"/>
        <rFont val="Tahoma"/>
        <family val="2"/>
      </rPr>
      <t>(L/min)</t>
    </r>
    <phoneticPr fontId="4" type="noConversion"/>
  </si>
  <si>
    <t>液压马达选型向导</t>
    <phoneticPr fontId="4" type="noConversion"/>
  </si>
  <si>
    <r>
      <rPr>
        <sz val="11"/>
        <color theme="1"/>
        <rFont val="宋体"/>
        <family val="3"/>
        <charset val="134"/>
      </rPr>
      <t>需电机额定</t>
    </r>
    <r>
      <rPr>
        <sz val="11"/>
        <color theme="1"/>
        <rFont val="Tahoma"/>
        <family val="2"/>
      </rPr>
      <t>T</t>
    </r>
    <r>
      <rPr>
        <sz val="11"/>
        <color theme="1"/>
        <rFont val="宋体"/>
        <family val="3"/>
        <charset val="134"/>
      </rPr>
      <t>≥</t>
    </r>
    <r>
      <rPr>
        <sz val="11"/>
        <color theme="1"/>
        <rFont val="Tahoma"/>
        <family val="2"/>
      </rPr>
      <t>Tm ,n</t>
    </r>
    <r>
      <rPr>
        <sz val="11"/>
        <color theme="1"/>
        <rFont val="宋体"/>
        <family val="3"/>
        <charset val="134"/>
      </rPr>
      <t>≥</t>
    </r>
    <r>
      <rPr>
        <sz val="11"/>
        <color theme="1"/>
        <rFont val="Tahoma"/>
        <family val="2"/>
      </rPr>
      <t>nm</t>
    </r>
    <phoneticPr fontId="4" type="noConversion"/>
  </si>
  <si>
    <r>
      <rPr>
        <sz val="11"/>
        <color theme="1"/>
        <rFont val="宋体"/>
        <family val="3"/>
        <charset val="134"/>
      </rPr>
      <t>电机最大转速</t>
    </r>
    <r>
      <rPr>
        <sz val="11"/>
        <color theme="1"/>
        <rFont val="Tahoma"/>
        <family val="2"/>
      </rPr>
      <t>n(r/min)</t>
    </r>
    <phoneticPr fontId="4" type="noConversion"/>
  </si>
  <si>
    <r>
      <rPr>
        <sz val="11"/>
        <color theme="1"/>
        <rFont val="宋体"/>
        <family val="3"/>
        <charset val="134"/>
      </rPr>
      <t>表</t>
    </r>
    <r>
      <rPr>
        <sz val="11"/>
        <color theme="1"/>
        <rFont val="Tahoma"/>
        <family val="2"/>
      </rPr>
      <t xml:space="preserve">2 </t>
    </r>
    <r>
      <rPr>
        <sz val="11"/>
        <color theme="1"/>
        <rFont val="宋体"/>
        <family val="3"/>
        <charset val="134"/>
      </rPr>
      <t>中瑞马达样本截图</t>
    </r>
    <phoneticPr fontId="4" type="noConversion"/>
  </si>
  <si>
    <t>1QJM11-0.40S</t>
    <phoneticPr fontId="4" type="noConversion"/>
  </si>
  <si>
    <r>
      <rPr>
        <sz val="11"/>
        <color theme="1"/>
        <rFont val="宋体"/>
        <family val="3"/>
        <charset val="134"/>
      </rPr>
      <t>马达计算排量</t>
    </r>
    <r>
      <rPr>
        <sz val="11"/>
        <color theme="1"/>
        <rFont val="Tahoma"/>
        <family val="2"/>
      </rPr>
      <t>q(Ml/r</t>
    </r>
    <r>
      <rPr>
        <sz val="11"/>
        <color theme="1"/>
        <rFont val="宋体"/>
        <family val="3"/>
        <charset val="134"/>
      </rPr>
      <t>即</t>
    </r>
    <r>
      <rPr>
        <sz val="11"/>
        <color theme="1"/>
        <rFont val="Tahoma"/>
        <family val="2"/>
      </rPr>
      <t>cm³/r)</t>
    </r>
    <phoneticPr fontId="4" type="noConversion"/>
  </si>
  <si>
    <t>样本未注时不填</t>
    <phoneticPr fontId="4" type="noConversion"/>
  </si>
  <si>
    <r>
      <rPr>
        <sz val="11"/>
        <color theme="1"/>
        <rFont val="宋体"/>
        <family val="3"/>
        <charset val="134"/>
      </rPr>
      <t>额定排量</t>
    </r>
    <r>
      <rPr>
        <sz val="11"/>
        <color theme="1"/>
        <rFont val="Tahoma"/>
        <family val="2"/>
      </rPr>
      <t>qm(L/r)</t>
    </r>
    <phoneticPr fontId="4" type="noConversion"/>
  </si>
  <si>
    <r>
      <rPr>
        <sz val="11"/>
        <color theme="1"/>
        <rFont val="宋体"/>
        <family val="3"/>
        <charset val="134"/>
      </rPr>
      <t>△</t>
    </r>
    <r>
      <rPr>
        <sz val="11"/>
        <color theme="1"/>
        <rFont val="Tahoma"/>
        <family val="2"/>
      </rPr>
      <t>P</t>
    </r>
    <r>
      <rPr>
        <sz val="11"/>
        <color theme="1"/>
        <rFont val="宋体"/>
        <family val="3"/>
        <charset val="134"/>
      </rPr>
      <t>≈设计压力</t>
    </r>
    <r>
      <rPr>
        <sz val="11"/>
        <color theme="1"/>
        <rFont val="Tahoma"/>
        <family val="2"/>
      </rPr>
      <t>P-0.2</t>
    </r>
    <phoneticPr fontId="4" type="noConversion"/>
  </si>
  <si>
    <r>
      <t>4</t>
    </r>
    <r>
      <rPr>
        <sz val="11"/>
        <color theme="1"/>
        <rFont val="宋体"/>
        <family val="3"/>
        <charset val="134"/>
      </rPr>
      <t>，计算马达流量</t>
    </r>
    <r>
      <rPr>
        <sz val="11"/>
        <color theme="1"/>
        <rFont val="Tahoma"/>
        <family val="2"/>
      </rPr>
      <t>(</t>
    </r>
    <r>
      <rPr>
        <sz val="11"/>
        <color theme="1"/>
        <rFont val="宋体"/>
        <family val="3"/>
        <charset val="134"/>
      </rPr>
      <t>选做</t>
    </r>
    <r>
      <rPr>
        <sz val="11"/>
        <color theme="1"/>
        <rFont val="Tahoma"/>
        <family val="2"/>
      </rPr>
      <t>)</t>
    </r>
    <phoneticPr fontId="4" type="noConversion"/>
  </si>
  <si>
    <t>1.1~1.3</t>
    <phoneticPr fontId="4" type="noConversion"/>
  </si>
  <si>
    <r>
      <rPr>
        <sz val="11"/>
        <color theme="1"/>
        <rFont val="宋体"/>
        <family val="3"/>
        <charset val="134"/>
      </rPr>
      <t>负载最大流量</t>
    </r>
    <r>
      <rPr>
        <sz val="11"/>
        <color theme="1"/>
        <rFont val="Tahoma"/>
        <family val="2"/>
      </rPr>
      <t>Ql(L/min)</t>
    </r>
    <phoneticPr fontId="4" type="noConversion"/>
  </si>
  <si>
    <r>
      <rPr>
        <sz val="10.5"/>
        <color theme="1"/>
        <rFont val="宋体"/>
        <family val="3"/>
        <charset val="134"/>
      </rPr>
      <t>油缸工作面积</t>
    </r>
    <r>
      <rPr>
        <sz val="10.5"/>
        <color theme="1"/>
        <rFont val="Tahoma"/>
        <family val="2"/>
      </rPr>
      <t>A(mm</t>
    </r>
    <r>
      <rPr>
        <vertAlign val="superscript"/>
        <sz val="12"/>
        <color theme="1"/>
        <rFont val="Tahoma"/>
        <family val="2"/>
      </rPr>
      <t>2</t>
    </r>
    <r>
      <rPr>
        <sz val="10.5"/>
        <color theme="1"/>
        <rFont val="Tahoma"/>
        <family val="2"/>
      </rPr>
      <t>)</t>
    </r>
    <phoneticPr fontId="4" type="noConversion"/>
  </si>
  <si>
    <t>液压缸最大流量计算</t>
    <phoneticPr fontId="4" type="noConversion"/>
  </si>
  <si>
    <t>液压马达最大流量计算</t>
    <phoneticPr fontId="4" type="noConversion"/>
  </si>
  <si>
    <r>
      <rPr>
        <sz val="11"/>
        <color theme="1"/>
        <rFont val="宋体"/>
        <family val="3"/>
        <charset val="134"/>
      </rPr>
      <t>马达最大转速n</t>
    </r>
    <r>
      <rPr>
        <sz val="11"/>
        <color theme="1"/>
        <rFont val="Tahoma"/>
        <family val="2"/>
      </rPr>
      <t>(r/min)</t>
    </r>
    <phoneticPr fontId="4" type="noConversion"/>
  </si>
  <si>
    <r>
      <rPr>
        <sz val="10.5"/>
        <color theme="1"/>
        <rFont val="宋体"/>
        <family val="3"/>
        <charset val="134"/>
      </rPr>
      <t>马达排量</t>
    </r>
    <r>
      <rPr>
        <sz val="10.5"/>
        <color theme="1"/>
        <rFont val="Tahoma"/>
        <family val="2"/>
      </rPr>
      <t>q(L/min)</t>
    </r>
    <phoneticPr fontId="4" type="noConversion"/>
  </si>
  <si>
    <t>Q=qm*n/ηv</t>
    <phoneticPr fontId="4" type="noConversion"/>
  </si>
  <si>
    <r>
      <rPr>
        <sz val="11"/>
        <color theme="1"/>
        <rFont val="宋体"/>
        <family val="3"/>
        <charset val="134"/>
      </rPr>
      <t>活塞最大速度</t>
    </r>
    <r>
      <rPr>
        <sz val="11"/>
        <color theme="1"/>
        <rFont val="Tahoma"/>
        <family val="2"/>
      </rPr>
      <t>V(mm/s)</t>
    </r>
    <phoneticPr fontId="4" type="noConversion"/>
  </si>
  <si>
    <r>
      <t>1</t>
    </r>
    <r>
      <rPr>
        <sz val="11"/>
        <color theme="1"/>
        <rFont val="宋体"/>
        <family val="3"/>
        <charset val="134"/>
      </rPr>
      <t>，所需泵的流量</t>
    </r>
    <phoneticPr fontId="4" type="noConversion"/>
  </si>
  <si>
    <r>
      <t>2</t>
    </r>
    <r>
      <rPr>
        <sz val="11"/>
        <color theme="1"/>
        <rFont val="宋体"/>
        <family val="3"/>
        <charset val="134"/>
      </rPr>
      <t>，所需泵的压力</t>
    </r>
    <phoneticPr fontId="4" type="noConversion"/>
  </si>
  <si>
    <r>
      <rPr>
        <sz val="11"/>
        <color theme="1"/>
        <rFont val="宋体"/>
        <family val="3"/>
        <charset val="134"/>
      </rPr>
      <t>注意：多缸</t>
    </r>
    <r>
      <rPr>
        <sz val="11"/>
        <color theme="1"/>
        <rFont val="Tahoma"/>
        <family val="2"/>
      </rPr>
      <t>/</t>
    </r>
    <r>
      <rPr>
        <sz val="11"/>
        <color theme="1"/>
        <rFont val="宋体"/>
        <family val="3"/>
        <charset val="134"/>
      </rPr>
      <t>马达同时运动时为各缸</t>
    </r>
    <r>
      <rPr>
        <sz val="11"/>
        <color theme="1"/>
        <rFont val="Tahoma"/>
        <family val="2"/>
      </rPr>
      <t>/</t>
    </r>
    <r>
      <rPr>
        <sz val="11"/>
        <color theme="1"/>
        <rFont val="宋体"/>
        <family val="3"/>
        <charset val="134"/>
      </rPr>
      <t>马达流量之和</t>
    </r>
    <phoneticPr fontId="4" type="noConversion"/>
  </si>
  <si>
    <r>
      <rPr>
        <sz val="11"/>
        <color theme="1"/>
        <rFont val="宋体"/>
        <family val="3"/>
        <charset val="134"/>
      </rPr>
      <t xml:space="preserve">最大流量
</t>
    </r>
    <r>
      <rPr>
        <sz val="11"/>
        <color theme="1"/>
        <rFont val="Tahoma"/>
        <family val="2"/>
      </rPr>
      <t>Q(L/min)</t>
    </r>
    <phoneticPr fontId="4" type="noConversion"/>
  </si>
  <si>
    <r>
      <rPr>
        <sz val="11"/>
        <color theme="1"/>
        <rFont val="宋体"/>
        <family val="3"/>
        <charset val="134"/>
      </rPr>
      <t>所需油泵流量</t>
    </r>
    <r>
      <rPr>
        <sz val="11"/>
        <color theme="1"/>
        <rFont val="Tahoma"/>
        <family val="2"/>
      </rPr>
      <t>Qm(L/min)</t>
    </r>
    <phoneticPr fontId="4" type="noConversion"/>
  </si>
  <si>
    <r>
      <rPr>
        <sz val="11"/>
        <color theme="1"/>
        <rFont val="宋体"/>
        <family val="3"/>
        <charset val="134"/>
      </rPr>
      <t>安全系数</t>
    </r>
    <r>
      <rPr>
        <sz val="11"/>
        <color theme="1"/>
        <rFont val="Tahoma"/>
        <family val="2"/>
      </rPr>
      <t>Kp</t>
    </r>
    <phoneticPr fontId="4" type="noConversion"/>
  </si>
  <si>
    <r>
      <rPr>
        <sz val="11"/>
        <color theme="1"/>
        <rFont val="宋体"/>
        <family val="3"/>
        <charset val="134"/>
      </rPr>
      <t>泄漏</t>
    </r>
    <r>
      <rPr>
        <sz val="11"/>
        <color theme="1"/>
        <rFont val="Tahoma"/>
        <family val="2"/>
      </rPr>
      <t>(</t>
    </r>
    <r>
      <rPr>
        <sz val="11"/>
        <color theme="1"/>
        <rFont val="宋体"/>
        <family val="3"/>
        <charset val="134"/>
      </rPr>
      <t>安全</t>
    </r>
    <r>
      <rPr>
        <sz val="11"/>
        <color theme="1"/>
        <rFont val="Tahoma"/>
        <family val="2"/>
      </rPr>
      <t>)</t>
    </r>
    <r>
      <rPr>
        <sz val="11"/>
        <color theme="1"/>
        <rFont val="宋体"/>
        <family val="3"/>
        <charset val="134"/>
      </rPr>
      <t>系数</t>
    </r>
    <r>
      <rPr>
        <sz val="11"/>
        <color theme="1"/>
        <rFont val="Tahoma"/>
        <family val="2"/>
      </rPr>
      <t>Kq</t>
    </r>
    <phoneticPr fontId="4" type="noConversion"/>
  </si>
  <si>
    <t>Qm=Kq*Ql</t>
    <phoneticPr fontId="4" type="noConversion"/>
  </si>
  <si>
    <t>1.1~1.5</t>
    <phoneticPr fontId="4" type="noConversion"/>
  </si>
  <si>
    <r>
      <rPr>
        <sz val="11"/>
        <color theme="1"/>
        <rFont val="宋体"/>
        <family val="3"/>
        <charset val="134"/>
      </rPr>
      <t>所需油泵工作压力</t>
    </r>
    <r>
      <rPr>
        <sz val="11"/>
        <color theme="1"/>
        <rFont val="Tahoma"/>
        <family val="2"/>
      </rPr>
      <t>pm(MPa)</t>
    </r>
    <phoneticPr fontId="4" type="noConversion"/>
  </si>
  <si>
    <t>pm=Kp*p</t>
    <phoneticPr fontId="4" type="noConversion"/>
  </si>
  <si>
    <t>齿轮泵</t>
    <phoneticPr fontId="4" type="noConversion"/>
  </si>
  <si>
    <t>0.6~0.7</t>
    <phoneticPr fontId="4" type="noConversion"/>
  </si>
  <si>
    <t>叶片泵</t>
    <phoneticPr fontId="4" type="noConversion"/>
  </si>
  <si>
    <t>0.6~0.75</t>
    <phoneticPr fontId="4" type="noConversion"/>
  </si>
  <si>
    <t>柱塞泵</t>
    <phoneticPr fontId="4" type="noConversion"/>
  </si>
  <si>
    <t>0.8~0.85</t>
    <phoneticPr fontId="4" type="noConversion"/>
  </si>
  <si>
    <r>
      <rPr>
        <sz val="11"/>
        <color theme="1"/>
        <rFont val="宋体"/>
        <family val="3"/>
        <charset val="134"/>
      </rPr>
      <t>泵的总效率</t>
    </r>
    <r>
      <rPr>
        <sz val="11"/>
        <color theme="1"/>
        <rFont val="Tahoma"/>
        <family val="2"/>
      </rPr>
      <t>η</t>
    </r>
    <phoneticPr fontId="4" type="noConversion"/>
  </si>
  <si>
    <t>P=pm*Qm/η</t>
    <phoneticPr fontId="4" type="noConversion"/>
  </si>
  <si>
    <r>
      <rPr>
        <sz val="11"/>
        <color theme="1"/>
        <rFont val="宋体"/>
        <family val="3"/>
        <charset val="134"/>
      </rPr>
      <t>所需最小电机功率</t>
    </r>
    <r>
      <rPr>
        <sz val="11"/>
        <color theme="1"/>
        <rFont val="Tahoma"/>
        <family val="2"/>
      </rPr>
      <t>P(KW)</t>
    </r>
    <phoneticPr fontId="4" type="noConversion"/>
  </si>
  <si>
    <r>
      <t>3</t>
    </r>
    <r>
      <rPr>
        <sz val="11"/>
        <color theme="1"/>
        <rFont val="宋体"/>
        <family val="3"/>
        <charset val="134"/>
      </rPr>
      <t>，驱动电机功率</t>
    </r>
    <phoneticPr fontId="4" type="noConversion"/>
  </si>
  <si>
    <r>
      <rPr>
        <sz val="11"/>
        <color theme="1"/>
        <rFont val="宋体"/>
        <family val="3"/>
        <charset val="134"/>
      </rPr>
      <t>马达计算额定功率</t>
    </r>
    <r>
      <rPr>
        <sz val="11"/>
        <color theme="1"/>
        <rFont val="Tahoma"/>
        <family val="2"/>
      </rPr>
      <t>P(KW)</t>
    </r>
    <phoneticPr fontId="4" type="noConversion"/>
  </si>
  <si>
    <r>
      <rPr>
        <sz val="11"/>
        <color theme="1"/>
        <rFont val="宋体"/>
        <family val="3"/>
        <charset val="134"/>
      </rPr>
      <t>负载工作压力</t>
    </r>
    <r>
      <rPr>
        <sz val="11"/>
        <color theme="1"/>
        <rFont val="Tahoma"/>
        <family val="2"/>
      </rPr>
      <t>p(MPa)</t>
    </r>
    <phoneticPr fontId="4" type="noConversion"/>
  </si>
  <si>
    <r>
      <rPr>
        <sz val="11"/>
        <color theme="1"/>
        <rFont val="宋体"/>
        <family val="3"/>
        <charset val="134"/>
      </rPr>
      <t>表3</t>
    </r>
    <r>
      <rPr>
        <sz val="11"/>
        <color theme="1"/>
        <rFont val="Tahoma"/>
        <family val="2"/>
      </rPr>
      <t xml:space="preserve"> </t>
    </r>
    <r>
      <rPr>
        <sz val="11"/>
        <color theme="1"/>
        <rFont val="宋体"/>
        <family val="3"/>
        <charset val="134"/>
      </rPr>
      <t>各种泵的效率</t>
    </r>
    <phoneticPr fontId="4" type="noConversion"/>
  </si>
  <si>
    <r>
      <rPr>
        <sz val="11"/>
        <color theme="1"/>
        <rFont val="宋体"/>
        <family val="3"/>
        <charset val="134"/>
      </rPr>
      <t>表</t>
    </r>
    <r>
      <rPr>
        <sz val="11"/>
        <color theme="1"/>
        <rFont val="Tahoma"/>
        <family val="2"/>
      </rPr>
      <t xml:space="preserve">1 </t>
    </r>
    <r>
      <rPr>
        <sz val="11"/>
        <color theme="1"/>
        <rFont val="宋体"/>
        <family val="3"/>
        <charset val="134"/>
      </rPr>
      <t>单个液压缸与马达流量计算</t>
    </r>
    <r>
      <rPr>
        <sz val="11"/>
        <color theme="1"/>
        <rFont val="Tahoma"/>
        <family val="2"/>
      </rPr>
      <t>(</t>
    </r>
    <r>
      <rPr>
        <sz val="11"/>
        <color theme="1"/>
        <rFont val="宋体"/>
        <family val="3"/>
        <charset val="134"/>
      </rPr>
      <t>容积效率按</t>
    </r>
    <r>
      <rPr>
        <sz val="11"/>
        <color theme="1"/>
        <rFont val="Tahoma"/>
        <family val="2"/>
      </rPr>
      <t>ηv=0.95)</t>
    </r>
    <phoneticPr fontId="4" type="noConversion"/>
  </si>
  <si>
    <t>液压缸最大压力计算</t>
    <phoneticPr fontId="4" type="noConversion"/>
  </si>
  <si>
    <t>液压马达最大压力计算</t>
    <phoneticPr fontId="4" type="noConversion"/>
  </si>
  <si>
    <r>
      <rPr>
        <sz val="11"/>
        <color theme="1"/>
        <rFont val="宋体"/>
        <family val="3"/>
        <charset val="134"/>
      </rPr>
      <t>负载力</t>
    </r>
    <r>
      <rPr>
        <sz val="11"/>
        <color theme="1"/>
        <rFont val="Tahoma"/>
        <family val="2"/>
      </rPr>
      <t>F(N)</t>
    </r>
    <phoneticPr fontId="4" type="noConversion"/>
  </si>
  <si>
    <r>
      <rPr>
        <sz val="11"/>
        <color theme="1"/>
        <rFont val="宋体"/>
        <family val="3"/>
        <charset val="134"/>
      </rPr>
      <t>所需工作压力p</t>
    </r>
    <r>
      <rPr>
        <sz val="11"/>
        <color theme="1"/>
        <rFont val="Tahoma"/>
        <family val="2"/>
      </rPr>
      <t>(MPa)</t>
    </r>
    <phoneticPr fontId="4" type="noConversion"/>
  </si>
  <si>
    <r>
      <t>2</t>
    </r>
    <r>
      <rPr>
        <sz val="11"/>
        <color theme="1"/>
        <rFont val="宋体"/>
        <family val="3"/>
        <charset val="134"/>
        <scheme val="minor"/>
      </rPr>
      <t>π</t>
    </r>
    <r>
      <rPr>
        <sz val="11"/>
        <color theme="1"/>
        <rFont val="Tahoma"/>
        <family val="2"/>
      </rPr>
      <t>*T=q*</t>
    </r>
    <r>
      <rPr>
        <sz val="11"/>
        <color theme="1"/>
        <rFont val="宋体"/>
        <family val="3"/>
        <charset val="134"/>
      </rPr>
      <t>△</t>
    </r>
    <r>
      <rPr>
        <sz val="11"/>
        <color theme="1"/>
        <rFont val="Tahoma"/>
        <family val="2"/>
      </rPr>
      <t>P*ηm</t>
    </r>
    <phoneticPr fontId="4" type="noConversion"/>
  </si>
  <si>
    <r>
      <rPr>
        <sz val="11"/>
        <color theme="1"/>
        <rFont val="宋体"/>
        <family val="3"/>
        <charset val="134"/>
      </rPr>
      <t>负载转矩</t>
    </r>
    <r>
      <rPr>
        <sz val="11"/>
        <color theme="1"/>
        <rFont val="Tahoma"/>
        <family val="2"/>
      </rPr>
      <t>T(N.m)</t>
    </r>
    <phoneticPr fontId="4" type="noConversion"/>
  </si>
  <si>
    <t>所需工作压力p(MPa)</t>
    <phoneticPr fontId="4" type="noConversion"/>
  </si>
  <si>
    <r>
      <rPr>
        <sz val="11"/>
        <color theme="1"/>
        <rFont val="宋体"/>
        <family val="3"/>
        <charset val="134"/>
      </rPr>
      <t xml:space="preserve">机械效率
</t>
    </r>
    <r>
      <rPr>
        <sz val="11"/>
        <color theme="1"/>
        <rFont val="Tahoma"/>
        <family val="2"/>
      </rPr>
      <t>ηm</t>
    </r>
    <phoneticPr fontId="4" type="noConversion"/>
  </si>
  <si>
    <t>p=F/A/ηm</t>
    <phoneticPr fontId="4" type="noConversion"/>
  </si>
  <si>
    <r>
      <t>2π*T=q*</t>
    </r>
    <r>
      <rPr>
        <sz val="11"/>
        <color theme="1"/>
        <rFont val="宋体"/>
        <family val="3"/>
        <charset val="134"/>
      </rPr>
      <t>△</t>
    </r>
    <r>
      <rPr>
        <sz val="11"/>
        <color theme="1"/>
        <rFont val="Tahoma"/>
        <family val="2"/>
      </rPr>
      <t>p*ηm</t>
    </r>
    <phoneticPr fontId="4" type="noConversion"/>
  </si>
  <si>
    <r>
      <t>p</t>
    </r>
    <r>
      <rPr>
        <sz val="11"/>
        <color theme="1"/>
        <rFont val="宋体"/>
        <family val="3"/>
        <charset val="134"/>
      </rPr>
      <t>≈△</t>
    </r>
    <r>
      <rPr>
        <sz val="11"/>
        <color theme="1"/>
        <rFont val="Tahoma"/>
        <family val="2"/>
      </rPr>
      <t>p+0.2</t>
    </r>
    <phoneticPr fontId="4" type="noConversion"/>
  </si>
  <si>
    <r>
      <rPr>
        <sz val="11"/>
        <color theme="1"/>
        <rFont val="宋体"/>
        <family val="3"/>
        <charset val="134"/>
      </rPr>
      <t>注意：多缸</t>
    </r>
    <r>
      <rPr>
        <sz val="11"/>
        <color theme="1"/>
        <rFont val="Tahoma"/>
        <family val="2"/>
      </rPr>
      <t>/</t>
    </r>
    <r>
      <rPr>
        <sz val="11"/>
        <color theme="1"/>
        <rFont val="宋体"/>
        <family val="3"/>
        <charset val="134"/>
      </rPr>
      <t>马达并联同时运动时</t>
    </r>
    <r>
      <rPr>
        <sz val="11"/>
        <color theme="1"/>
        <rFont val="Tahoma"/>
        <family val="2"/>
      </rPr>
      <t>(</t>
    </r>
    <r>
      <rPr>
        <sz val="11"/>
        <color theme="1"/>
        <rFont val="宋体"/>
        <family val="3"/>
        <charset val="134"/>
      </rPr>
      <t>一般不串联</t>
    </r>
    <r>
      <rPr>
        <sz val="11"/>
        <color theme="1"/>
        <rFont val="Tahoma"/>
        <family val="2"/>
      </rPr>
      <t>)</t>
    </r>
    <r>
      <rPr>
        <sz val="11"/>
        <color theme="1"/>
        <rFont val="宋体"/>
        <family val="3"/>
        <charset val="134"/>
      </rPr>
      <t>：工作压力</t>
    </r>
    <r>
      <rPr>
        <sz val="11"/>
        <color theme="1"/>
        <rFont val="Tahoma"/>
        <family val="2"/>
      </rPr>
      <t>=</t>
    </r>
    <r>
      <rPr>
        <sz val="11"/>
        <color theme="1"/>
        <rFont val="宋体"/>
        <family val="3"/>
        <charset val="134"/>
      </rPr>
      <t>各缸</t>
    </r>
    <r>
      <rPr>
        <sz val="11"/>
        <color theme="1"/>
        <rFont val="Tahoma"/>
        <family val="2"/>
      </rPr>
      <t>/</t>
    </r>
    <r>
      <rPr>
        <sz val="11"/>
        <color theme="1"/>
        <rFont val="宋体"/>
        <family val="3"/>
        <charset val="134"/>
      </rPr>
      <t>马达</t>
    </r>
    <r>
      <rPr>
        <sz val="11"/>
        <color theme="1"/>
        <rFont val="Tahoma"/>
        <family val="2"/>
      </rPr>
      <t>p</t>
    </r>
    <r>
      <rPr>
        <sz val="11"/>
        <color theme="1"/>
        <rFont val="宋体"/>
        <family val="3"/>
        <charset val="134"/>
      </rPr>
      <t>之和</t>
    </r>
    <phoneticPr fontId="4" type="noConversion"/>
  </si>
  <si>
    <r>
      <rPr>
        <sz val="11"/>
        <color theme="1"/>
        <rFont val="宋体"/>
        <family val="3"/>
        <charset val="134"/>
      </rPr>
      <t>表</t>
    </r>
    <r>
      <rPr>
        <sz val="11"/>
        <color theme="1"/>
        <rFont val="Tahoma"/>
        <family val="2"/>
      </rPr>
      <t xml:space="preserve">2 </t>
    </r>
    <r>
      <rPr>
        <sz val="11"/>
        <color theme="1"/>
        <rFont val="宋体"/>
        <family val="3"/>
        <charset val="134"/>
      </rPr>
      <t>单个液压缸与马达工作压力计算</t>
    </r>
    <r>
      <rPr>
        <sz val="11"/>
        <color theme="1"/>
        <rFont val="Tahoma"/>
        <family val="2"/>
      </rPr>
      <t/>
    </r>
    <phoneticPr fontId="4" type="noConversion"/>
  </si>
  <si>
    <t>液压泵</t>
    <phoneticPr fontId="4" type="noConversion"/>
  </si>
  <si>
    <t>特点</t>
    <phoneticPr fontId="4" type="noConversion"/>
  </si>
  <si>
    <t>螺杆泵</t>
    <phoneticPr fontId="4" type="noConversion"/>
  </si>
  <si>
    <t>柱塞泵</t>
    <phoneticPr fontId="4" type="noConversion"/>
  </si>
  <si>
    <r>
      <rPr>
        <b/>
        <sz val="11"/>
        <color rgb="FFFF0000"/>
        <rFont val="宋体"/>
        <family val="3"/>
        <charset val="134"/>
      </rPr>
      <t>优点</t>
    </r>
    <r>
      <rPr>
        <sz val="11"/>
        <color theme="1"/>
        <rFont val="宋体"/>
        <family val="3"/>
        <charset val="134"/>
      </rPr>
      <t xml:space="preserve">：结构简单，体积小，质量轻，运转平稳，噪声小，使用寿命长，自吸能力强，容积效率高
缺点：螺杆齿形复杂，不易加工，精度难以保证
</t>
    </r>
    <r>
      <rPr>
        <b/>
        <sz val="11"/>
        <color theme="1"/>
        <rFont val="宋体"/>
        <family val="3"/>
        <charset val="134"/>
      </rPr>
      <t>工作压力</t>
    </r>
    <r>
      <rPr>
        <sz val="11"/>
        <color theme="1"/>
        <rFont val="宋体"/>
        <family val="3"/>
        <charset val="134"/>
      </rPr>
      <t>：4~40MPa</t>
    </r>
    <phoneticPr fontId="4" type="noConversion"/>
  </si>
  <si>
    <r>
      <rPr>
        <b/>
        <sz val="11"/>
        <color rgb="FFFF0000"/>
        <rFont val="宋体"/>
        <family val="3"/>
        <charset val="134"/>
      </rPr>
      <t>优点</t>
    </r>
    <r>
      <rPr>
        <sz val="11"/>
        <color theme="1"/>
        <rFont val="宋体"/>
        <family val="3"/>
        <charset val="134"/>
      </rPr>
      <t xml:space="preserve">：结构紧凑，径向尺寸小，容积效率高
</t>
    </r>
    <r>
      <rPr>
        <b/>
        <sz val="11"/>
        <color theme="3" tint="0.39997558519241921"/>
        <rFont val="宋体"/>
        <family val="3"/>
        <charset val="134"/>
      </rPr>
      <t>缺点</t>
    </r>
    <r>
      <rPr>
        <sz val="11"/>
        <color theme="1"/>
        <rFont val="宋体"/>
        <family val="3"/>
        <charset val="134"/>
      </rPr>
      <t xml:space="preserve">：结构复杂，价格较贵
</t>
    </r>
    <r>
      <rPr>
        <b/>
        <sz val="11"/>
        <color theme="1"/>
        <rFont val="宋体"/>
        <family val="3"/>
        <charset val="134"/>
      </rPr>
      <t>工作压力</t>
    </r>
    <r>
      <rPr>
        <sz val="11"/>
        <color theme="1"/>
        <rFont val="宋体"/>
        <family val="3"/>
        <charset val="134"/>
      </rPr>
      <t>：高压</t>
    </r>
    <phoneticPr fontId="4" type="noConversion"/>
  </si>
  <si>
    <r>
      <rPr>
        <b/>
        <sz val="11"/>
        <color rgb="FFFF0000"/>
        <rFont val="宋体"/>
        <family val="3"/>
        <charset val="134"/>
      </rPr>
      <t>优点</t>
    </r>
    <r>
      <rPr>
        <sz val="11"/>
        <color theme="1"/>
        <rFont val="宋体"/>
        <family val="3"/>
        <charset val="134"/>
      </rPr>
      <t xml:space="preserve">：输油量均匀，压力脉动小，容积效率高
</t>
    </r>
    <r>
      <rPr>
        <b/>
        <sz val="11"/>
        <color theme="3" tint="0.39997558519241921"/>
        <rFont val="宋体"/>
        <family val="3"/>
        <charset val="134"/>
      </rPr>
      <t>缺点</t>
    </r>
    <r>
      <rPr>
        <sz val="11"/>
        <color theme="1"/>
        <rFont val="宋体"/>
        <family val="3"/>
        <charset val="134"/>
      </rPr>
      <t xml:space="preserve">：结构复杂，难以加工，叶片易被脏物卡死
</t>
    </r>
    <r>
      <rPr>
        <b/>
        <sz val="11"/>
        <color theme="1"/>
        <rFont val="宋体"/>
        <family val="3"/>
        <charset val="134"/>
      </rPr>
      <t>工作压力</t>
    </r>
    <r>
      <rPr>
        <sz val="11"/>
        <color theme="1"/>
        <rFont val="宋体"/>
        <family val="3"/>
        <charset val="134"/>
      </rPr>
      <t>：中压</t>
    </r>
    <phoneticPr fontId="4" type="noConversion"/>
  </si>
  <si>
    <r>
      <rPr>
        <b/>
        <sz val="11"/>
        <color rgb="FFFF0000"/>
        <rFont val="宋体"/>
        <family val="3"/>
        <charset val="134"/>
      </rPr>
      <t>优点</t>
    </r>
    <r>
      <rPr>
        <sz val="11"/>
        <color theme="1"/>
        <rFont val="宋体"/>
        <family val="3"/>
        <charset val="134"/>
      </rPr>
      <t xml:space="preserve">：结构简单，工作可靠，维护方便，价格低，自吸性强
</t>
    </r>
    <r>
      <rPr>
        <b/>
        <sz val="11"/>
        <color theme="3" tint="0.39997558519241921"/>
        <rFont val="宋体"/>
        <family val="3"/>
        <charset val="134"/>
      </rPr>
      <t>缺点</t>
    </r>
    <r>
      <rPr>
        <sz val="11"/>
        <color theme="1"/>
        <rFont val="宋体"/>
        <family val="3"/>
        <charset val="134"/>
      </rPr>
      <t xml:space="preserve">：易产生振动和噪声，泄露大，容积效率低，径向液压力不平衡，流量不可调
</t>
    </r>
    <r>
      <rPr>
        <b/>
        <sz val="11"/>
        <color theme="1"/>
        <rFont val="宋体"/>
        <family val="3"/>
        <charset val="134"/>
      </rPr>
      <t>工作压力</t>
    </r>
    <r>
      <rPr>
        <sz val="11"/>
        <color theme="1"/>
        <rFont val="宋体"/>
        <family val="3"/>
        <charset val="134"/>
      </rPr>
      <t>：一般用于低压</t>
    </r>
    <phoneticPr fontId="4" type="noConversion"/>
  </si>
  <si>
    <t>图示</t>
    <phoneticPr fontId="4" type="noConversion"/>
  </si>
  <si>
    <r>
      <rPr>
        <sz val="11"/>
        <color theme="1"/>
        <rFont val="宋体"/>
        <family val="3"/>
        <charset val="134"/>
      </rPr>
      <t>附表</t>
    </r>
    <r>
      <rPr>
        <sz val="11"/>
        <color theme="1"/>
        <rFont val="Tahoma"/>
        <family val="2"/>
      </rPr>
      <t xml:space="preserve">1 </t>
    </r>
    <r>
      <rPr>
        <sz val="11"/>
        <color theme="1"/>
        <rFont val="宋体"/>
        <family val="3"/>
        <charset val="134"/>
      </rPr>
      <t>常用液压泵与特点</t>
    </r>
    <phoneticPr fontId="4" type="noConversion"/>
  </si>
  <si>
    <r>
      <rPr>
        <sz val="11"/>
        <color theme="1"/>
        <rFont val="宋体"/>
        <family val="3"/>
        <charset val="134"/>
      </rPr>
      <t>附表</t>
    </r>
    <r>
      <rPr>
        <sz val="11"/>
        <color theme="1"/>
        <rFont val="Tahoma"/>
        <family val="2"/>
      </rPr>
      <t xml:space="preserve">1 </t>
    </r>
    <r>
      <rPr>
        <sz val="11"/>
        <color theme="1"/>
        <rFont val="宋体"/>
        <family val="3"/>
        <charset val="134"/>
      </rPr>
      <t>常用液压泵应用场合</t>
    </r>
    <phoneticPr fontId="4" type="noConversion"/>
  </si>
  <si>
    <r>
      <rPr>
        <sz val="11"/>
        <color theme="1"/>
        <rFont val="宋体"/>
        <family val="3"/>
        <charset val="134"/>
      </rPr>
      <t>文档信息
编写：图惜
参考：《液压泵马达选型计算》——</t>
    </r>
    <r>
      <rPr>
        <sz val="11"/>
        <color theme="1"/>
        <rFont val="Tahoma"/>
        <family val="2"/>
      </rPr>
      <t>(</t>
    </r>
    <r>
      <rPr>
        <sz val="11"/>
        <color theme="1"/>
        <rFont val="宋体"/>
        <family val="3"/>
        <charset val="134"/>
      </rPr>
      <t>前桥教育</t>
    </r>
    <r>
      <rPr>
        <sz val="11"/>
        <color theme="1"/>
        <rFont val="Tahoma"/>
        <family val="2"/>
      </rPr>
      <t>)</t>
    </r>
    <r>
      <rPr>
        <sz val="11"/>
        <color theme="1"/>
        <rFont val="宋体"/>
        <family val="3"/>
        <charset val="134"/>
      </rPr>
      <t xml:space="preserve">宣言
</t>
    </r>
    <r>
      <rPr>
        <sz val="11"/>
        <color theme="1"/>
        <rFont val="Tahoma"/>
        <family val="2"/>
      </rPr>
      <t xml:space="preserve">         </t>
    </r>
    <r>
      <rPr>
        <sz val="11"/>
        <color theme="1"/>
        <rFont val="宋体"/>
        <family val="3"/>
        <charset val="134"/>
      </rPr>
      <t xml:space="preserve">
</t>
    </r>
    <r>
      <rPr>
        <sz val="11"/>
        <color theme="1"/>
        <rFont val="Tahoma"/>
        <family val="2"/>
      </rPr>
      <t xml:space="preserve">                                                                                           2018.9.14</t>
    </r>
    <r>
      <rPr>
        <sz val="11"/>
        <color theme="1"/>
        <rFont val="宋体"/>
        <family val="3"/>
        <charset val="134"/>
      </rPr>
      <t xml:space="preserve">
</t>
    </r>
    <r>
      <rPr>
        <sz val="11"/>
        <color theme="1"/>
        <rFont val="Tahoma"/>
        <family val="2"/>
      </rPr>
      <t xml:space="preserve">      </t>
    </r>
    <phoneticPr fontId="4" type="noConversion"/>
  </si>
  <si>
    <r>
      <rPr>
        <sz val="12"/>
        <color theme="1"/>
        <rFont val="宋体"/>
        <family val="3"/>
        <charset val="134"/>
      </rPr>
      <t>说明：</t>
    </r>
    <r>
      <rPr>
        <sz val="12"/>
        <color theme="1"/>
        <rFont val="Tahoma"/>
        <family val="2"/>
      </rPr>
      <t xml:space="preserve"> 
     1</t>
    </r>
    <r>
      <rPr>
        <sz val="12"/>
        <color theme="1"/>
        <rFont val="宋体"/>
        <family val="3"/>
        <charset val="134"/>
      </rPr>
      <t>，常见液压泵：齿轮泵，叶片泵，轴向柱塞泵，径向柱塞泵，螺杆泵</t>
    </r>
    <r>
      <rPr>
        <sz val="12"/>
        <color theme="1"/>
        <rFont val="Tahoma"/>
        <family val="2"/>
      </rPr>
      <t xml:space="preserve"> </t>
    </r>
    <r>
      <rPr>
        <sz val="12"/>
        <color theme="1"/>
        <rFont val="宋体"/>
        <family val="3"/>
        <charset val="134"/>
      </rPr>
      <t>见附表</t>
    </r>
    <r>
      <rPr>
        <sz val="12"/>
        <color theme="1"/>
        <rFont val="Tahoma"/>
        <family val="2"/>
      </rPr>
      <t>1   
     2</t>
    </r>
    <r>
      <rPr>
        <sz val="12"/>
        <color theme="1"/>
        <rFont val="宋体"/>
        <family val="3"/>
        <charset val="134"/>
      </rPr>
      <t>，选择液压泵原则：
是否需要变量：径向柱塞泵、轴向柱塞泵、单作用叶片泵是变量泵；
工作压力：柱塞泵压力</t>
    </r>
    <r>
      <rPr>
        <sz val="12"/>
        <color theme="1"/>
        <rFont val="Tahoma"/>
        <family val="2"/>
      </rPr>
      <t>31.5MPa</t>
    </r>
    <r>
      <rPr>
        <sz val="12"/>
        <color theme="1"/>
        <rFont val="宋体"/>
        <family val="3"/>
        <charset val="134"/>
      </rPr>
      <t>；叶片泵压力</t>
    </r>
    <r>
      <rPr>
        <sz val="12"/>
        <color theme="1"/>
        <rFont val="Tahoma"/>
        <family val="2"/>
      </rPr>
      <t>6.3MPa</t>
    </r>
    <r>
      <rPr>
        <sz val="12"/>
        <color theme="1"/>
        <rFont val="宋体"/>
        <family val="3"/>
        <charset val="134"/>
      </rPr>
      <t>，高压化以后可以达到</t>
    </r>
    <r>
      <rPr>
        <sz val="12"/>
        <color theme="1"/>
        <rFont val="Tahoma"/>
        <family val="2"/>
      </rPr>
      <t>6MPa</t>
    </r>
    <r>
      <rPr>
        <sz val="12"/>
        <color theme="1"/>
        <rFont val="宋体"/>
        <family val="3"/>
        <charset val="134"/>
      </rPr>
      <t>；</t>
    </r>
    <r>
      <rPr>
        <sz val="12"/>
        <color theme="1"/>
        <rFont val="Tahoma"/>
        <family val="2"/>
      </rPr>
      <t xml:space="preserve">  
                </t>
    </r>
    <r>
      <rPr>
        <sz val="12"/>
        <color theme="1"/>
        <rFont val="宋体"/>
        <family val="3"/>
        <charset val="134"/>
      </rPr>
      <t>齿轮泵压力</t>
    </r>
    <r>
      <rPr>
        <sz val="12"/>
        <color theme="1"/>
        <rFont val="Tahoma"/>
        <family val="2"/>
      </rPr>
      <t>2.5MPa</t>
    </r>
    <r>
      <rPr>
        <sz val="12"/>
        <color theme="1"/>
        <rFont val="宋体"/>
        <family val="3"/>
        <charset val="134"/>
      </rPr>
      <t>，高压化可达</t>
    </r>
    <r>
      <rPr>
        <sz val="12"/>
        <color theme="1"/>
        <rFont val="Tahoma"/>
        <family val="2"/>
      </rPr>
      <t>21MPa</t>
    </r>
    <r>
      <rPr>
        <sz val="12"/>
        <color theme="1"/>
        <rFont val="宋体"/>
        <family val="3"/>
        <charset val="134"/>
      </rPr>
      <t xml:space="preserve">；
工作环境：齿轮泵的抗污能力最好；
噪声指标：低噪声泵有内啮合齿轮泵、双作用叶片泵和螺杆泵，双作用叶片泵和螺
</t>
    </r>
    <r>
      <rPr>
        <sz val="12"/>
        <color theme="1"/>
        <rFont val="Tahoma"/>
        <family val="2"/>
      </rPr>
      <t xml:space="preserve">                </t>
    </r>
    <r>
      <rPr>
        <sz val="12"/>
        <color theme="1"/>
        <rFont val="宋体"/>
        <family val="3"/>
        <charset val="134"/>
      </rPr>
      <t xml:space="preserve">杆泵的瞬时流量均匀；
效率：轴向柱塞泵的总效率最高；同一结构的泵，排量大的泵总效率高；同一排量
</t>
    </r>
    <r>
      <rPr>
        <sz val="12"/>
        <color theme="1"/>
        <rFont val="Tahoma"/>
        <family val="2"/>
      </rPr>
      <t xml:space="preserve">                </t>
    </r>
    <r>
      <rPr>
        <sz val="12"/>
        <color theme="1"/>
        <rFont val="宋体"/>
        <family val="3"/>
        <charset val="134"/>
      </rPr>
      <t xml:space="preserve">的泵在额定工况下总效率最高。
</t>
    </r>
    <r>
      <rPr>
        <sz val="12"/>
        <color theme="1"/>
        <rFont val="Tahoma"/>
        <family val="2"/>
      </rPr>
      <t xml:space="preserve">     3</t>
    </r>
    <r>
      <rPr>
        <sz val="12"/>
        <color theme="1"/>
        <rFont val="宋体"/>
        <family val="3"/>
        <charset val="134"/>
      </rPr>
      <t xml:space="preserve">，变量泵遵从的是低压大流量，高压小流量的工作方式，从成本上来说，同流量的泵定量泵比变量泵便宜，变量泵相对定量泵来说驱动功率相对要小，从工作能耗上来说，如果使用不频繁的话，可以选择定量泵。
</t>
    </r>
    <r>
      <rPr>
        <sz val="12"/>
        <color theme="1"/>
        <rFont val="Tahoma"/>
        <family val="2"/>
      </rPr>
      <t xml:space="preserve">     </t>
    </r>
    <r>
      <rPr>
        <sz val="12"/>
        <color theme="1"/>
        <rFont val="宋体"/>
        <family val="3"/>
        <charset val="134"/>
      </rPr>
      <t>定量泵没有调节流量的结构设计。如果需要调节流量，则另配变频器调节。</t>
    </r>
    <phoneticPr fontId="4" type="noConversion"/>
  </si>
  <si>
    <t>油压缓冲器选型向导</t>
    <phoneticPr fontId="4" type="noConversion"/>
  </si>
  <si>
    <t>气缸推力F(N)</t>
    <phoneticPr fontId="4" type="noConversion"/>
  </si>
  <si>
    <r>
      <rPr>
        <sz val="11"/>
        <color theme="1"/>
        <rFont val="宋体"/>
        <family val="3"/>
        <charset val="134"/>
      </rPr>
      <t>缓冲行程</t>
    </r>
    <r>
      <rPr>
        <sz val="11"/>
        <color theme="1"/>
        <rFont val="Tahoma"/>
        <family val="2"/>
      </rPr>
      <t>L(mm)</t>
    </r>
    <phoneticPr fontId="4" type="noConversion"/>
  </si>
  <si>
    <t>4~10</t>
    <phoneticPr fontId="4" type="noConversion"/>
  </si>
  <si>
    <r>
      <rPr>
        <sz val="11"/>
        <color theme="1"/>
        <rFont val="宋体"/>
        <family val="3"/>
        <charset val="134"/>
      </rPr>
      <t>动能</t>
    </r>
    <r>
      <rPr>
        <sz val="11"/>
        <color theme="1"/>
        <rFont val="Tahoma"/>
        <family val="2"/>
      </rPr>
      <t>E1(J)</t>
    </r>
    <phoneticPr fontId="4" type="noConversion"/>
  </si>
  <si>
    <t>E1=(1/2)mv²</t>
    <phoneticPr fontId="4" type="noConversion"/>
  </si>
  <si>
    <r>
      <rPr>
        <sz val="11"/>
        <color theme="1"/>
        <rFont val="宋体"/>
        <family val="3"/>
        <charset val="134"/>
      </rPr>
      <t>势能</t>
    </r>
    <r>
      <rPr>
        <sz val="11"/>
        <color theme="1"/>
        <rFont val="Tahoma"/>
        <family val="2"/>
      </rPr>
      <t>E2(J)</t>
    </r>
    <phoneticPr fontId="4" type="noConversion"/>
  </si>
  <si>
    <t>E2=mgLsinθ</t>
    <phoneticPr fontId="4" type="noConversion"/>
  </si>
  <si>
    <r>
      <rPr>
        <sz val="11"/>
        <color theme="1"/>
        <rFont val="宋体"/>
        <family val="3"/>
        <charset val="134"/>
      </rPr>
      <t>注意</t>
    </r>
    <r>
      <rPr>
        <sz val="11"/>
        <color theme="1"/>
        <rFont val="Tahoma"/>
        <family val="2"/>
      </rPr>
      <t xml:space="preserve"> </t>
    </r>
    <r>
      <rPr>
        <sz val="11"/>
        <color theme="1"/>
        <rFont val="宋体"/>
        <family val="3"/>
        <charset val="134"/>
      </rPr>
      <t>如果是上坡缓冲，</t>
    </r>
    <r>
      <rPr>
        <sz val="11"/>
        <color theme="1"/>
        <rFont val="Tahoma"/>
        <family val="2"/>
      </rPr>
      <t>θ</t>
    </r>
    <r>
      <rPr>
        <sz val="11"/>
        <color theme="1"/>
        <rFont val="宋体"/>
        <family val="3"/>
        <charset val="134"/>
      </rPr>
      <t>值前加负号</t>
    </r>
    <phoneticPr fontId="4" type="noConversion"/>
  </si>
  <si>
    <r>
      <rPr>
        <sz val="11"/>
        <color theme="1"/>
        <rFont val="宋体"/>
        <family val="3"/>
        <charset val="134"/>
      </rPr>
      <t>水平</t>
    </r>
    <r>
      <rPr>
        <sz val="11"/>
        <color theme="1"/>
        <rFont val="Tahoma"/>
        <family val="2"/>
      </rPr>
      <t>0°,</t>
    </r>
    <r>
      <rPr>
        <sz val="11"/>
        <color theme="1"/>
        <rFont val="宋体"/>
        <family val="3"/>
        <charset val="134"/>
      </rPr>
      <t>垂直</t>
    </r>
    <r>
      <rPr>
        <sz val="11"/>
        <color theme="1"/>
        <rFont val="Tahoma"/>
        <family val="2"/>
      </rPr>
      <t>90°,</t>
    </r>
    <r>
      <rPr>
        <sz val="11"/>
        <color theme="1"/>
        <rFont val="宋体"/>
        <family val="3"/>
        <charset val="134"/>
      </rPr>
      <t>上坡负值</t>
    </r>
    <phoneticPr fontId="4" type="noConversion"/>
  </si>
  <si>
    <r>
      <rPr>
        <sz val="11"/>
        <color theme="1"/>
        <rFont val="宋体"/>
        <family val="3"/>
        <charset val="134"/>
      </rPr>
      <t>负载撞击速度</t>
    </r>
    <r>
      <rPr>
        <sz val="11"/>
        <color theme="1"/>
        <rFont val="Tahoma"/>
        <family val="2"/>
      </rPr>
      <t>V(m/s)</t>
    </r>
    <phoneticPr fontId="4" type="noConversion"/>
  </si>
  <si>
    <t>即最大速度</t>
    <phoneticPr fontId="4" type="noConversion"/>
  </si>
  <si>
    <r>
      <rPr>
        <sz val="11"/>
        <color theme="1"/>
        <rFont val="宋体"/>
        <family val="3"/>
        <charset val="134"/>
      </rPr>
      <t>驱动能</t>
    </r>
    <r>
      <rPr>
        <sz val="11"/>
        <color theme="1"/>
        <rFont val="Tahoma"/>
        <family val="2"/>
      </rPr>
      <t>E3(J)</t>
    </r>
    <phoneticPr fontId="4" type="noConversion"/>
  </si>
  <si>
    <t>E3=FL</t>
    <phoneticPr fontId="4" type="noConversion"/>
  </si>
  <si>
    <t>安全系数K</t>
    <phoneticPr fontId="4" type="noConversion"/>
  </si>
  <si>
    <r>
      <rPr>
        <sz val="11"/>
        <color theme="1"/>
        <rFont val="宋体"/>
        <family val="3"/>
        <charset val="134"/>
      </rPr>
      <t>总能量</t>
    </r>
    <r>
      <rPr>
        <sz val="11"/>
        <color theme="1"/>
        <rFont val="Tahoma"/>
        <family val="2"/>
      </rPr>
      <t>E(J)</t>
    </r>
    <phoneticPr fontId="4" type="noConversion"/>
  </si>
  <si>
    <t>所需缓冲器吸收能量E0(J)</t>
    <phoneticPr fontId="4" type="noConversion"/>
  </si>
  <si>
    <r>
      <rPr>
        <sz val="11"/>
        <color theme="1"/>
        <rFont val="宋体"/>
        <family val="3"/>
        <charset val="134"/>
      </rPr>
      <t>图</t>
    </r>
    <r>
      <rPr>
        <sz val="11"/>
        <color theme="1"/>
        <rFont val="Tahoma"/>
        <family val="2"/>
      </rPr>
      <t xml:space="preserve">2 </t>
    </r>
    <r>
      <rPr>
        <sz val="11"/>
        <color theme="1"/>
        <rFont val="宋体"/>
        <family val="3"/>
        <charset val="134"/>
      </rPr>
      <t>旋转或摇摆运动布局图</t>
    </r>
    <phoneticPr fontId="4" type="noConversion"/>
  </si>
  <si>
    <r>
      <rPr>
        <sz val="11"/>
        <color theme="1"/>
        <rFont val="宋体"/>
        <family val="3"/>
        <charset val="134"/>
      </rPr>
      <t>表</t>
    </r>
    <r>
      <rPr>
        <sz val="11"/>
        <color theme="1"/>
        <rFont val="Tahoma"/>
        <family val="2"/>
      </rPr>
      <t xml:space="preserve">1 </t>
    </r>
    <r>
      <rPr>
        <sz val="11"/>
        <color theme="1"/>
        <rFont val="宋体"/>
        <family val="3"/>
        <charset val="134"/>
      </rPr>
      <t>某厂家样本</t>
    </r>
    <phoneticPr fontId="4" type="noConversion"/>
  </si>
  <si>
    <t>选择缓冲器型号</t>
    <phoneticPr fontId="4" type="noConversion"/>
  </si>
  <si>
    <t>参考厂家样本</t>
    <phoneticPr fontId="4" type="noConversion"/>
  </si>
  <si>
    <t>直线运动时</t>
    <phoneticPr fontId="4" type="noConversion"/>
  </si>
  <si>
    <t>计算能量</t>
    <phoneticPr fontId="4" type="noConversion"/>
  </si>
  <si>
    <r>
      <rPr>
        <sz val="11"/>
        <color theme="1"/>
        <rFont val="宋体"/>
        <family val="3"/>
        <charset val="134"/>
      </rPr>
      <t>负载转动惯量</t>
    </r>
    <r>
      <rPr>
        <sz val="11"/>
        <color theme="1"/>
        <rFont val="Tahoma"/>
        <family val="2"/>
      </rPr>
      <t>(kg.m</t>
    </r>
    <r>
      <rPr>
        <vertAlign val="superscript"/>
        <sz val="12"/>
        <color theme="1"/>
        <rFont val="Tahoma"/>
        <family val="2"/>
      </rPr>
      <t>2</t>
    </r>
    <r>
      <rPr>
        <sz val="11"/>
        <color theme="1"/>
        <rFont val="Tahoma"/>
        <family val="2"/>
      </rPr>
      <t>)</t>
    </r>
    <phoneticPr fontId="4" type="noConversion"/>
  </si>
  <si>
    <r>
      <rPr>
        <sz val="11"/>
        <color theme="1"/>
        <rFont val="宋体"/>
        <family val="3"/>
        <charset val="134"/>
      </rPr>
      <t>《惯量计算》或</t>
    </r>
    <r>
      <rPr>
        <sz val="11"/>
        <color theme="1"/>
        <rFont val="Tahoma"/>
        <family val="2"/>
      </rPr>
      <t>SW</t>
    </r>
    <r>
      <rPr>
        <sz val="11"/>
        <color theme="1"/>
        <rFont val="宋体"/>
        <family val="3"/>
        <charset val="134"/>
      </rPr>
      <t>查询</t>
    </r>
    <phoneticPr fontId="4" type="noConversion"/>
  </si>
  <si>
    <t>旋转或摇摆运动时</t>
    <phoneticPr fontId="4" type="noConversion"/>
  </si>
  <si>
    <r>
      <rPr>
        <sz val="11"/>
        <color theme="1"/>
        <rFont val="宋体"/>
        <family val="3"/>
        <charset val="134"/>
      </rPr>
      <t>转速</t>
    </r>
    <r>
      <rPr>
        <sz val="11"/>
        <color theme="1"/>
        <rFont val="Tahoma"/>
        <family val="2"/>
      </rPr>
      <t>n(r/min)</t>
    </r>
    <phoneticPr fontId="4" type="noConversion"/>
  </si>
  <si>
    <r>
      <rPr>
        <sz val="11"/>
        <color theme="1"/>
        <rFont val="宋体"/>
        <family val="3"/>
        <charset val="134"/>
      </rPr>
      <t>角速度</t>
    </r>
    <r>
      <rPr>
        <sz val="11"/>
        <color theme="1"/>
        <rFont val="Tahoma"/>
        <family val="2"/>
      </rPr>
      <t>w(rad/s)</t>
    </r>
    <phoneticPr fontId="4" type="noConversion"/>
  </si>
  <si>
    <r>
      <rPr>
        <sz val="11"/>
        <color theme="1"/>
        <rFont val="Tahoma"/>
        <family val="2"/>
      </rPr>
      <t>w=2</t>
    </r>
    <r>
      <rPr>
        <sz val="11"/>
        <color theme="1"/>
        <rFont val="宋体"/>
        <family val="3"/>
        <charset val="134"/>
        <scheme val="minor"/>
      </rPr>
      <t>π</t>
    </r>
    <r>
      <rPr>
        <sz val="11"/>
        <color theme="1"/>
        <rFont val="Tahoma"/>
        <family val="2"/>
      </rPr>
      <t>n/60</t>
    </r>
    <phoneticPr fontId="4" type="noConversion"/>
  </si>
  <si>
    <t>E1=(1/2)Jw²</t>
    <phoneticPr fontId="4" type="noConversion"/>
  </si>
  <si>
    <r>
      <rPr>
        <sz val="11"/>
        <color theme="1"/>
        <rFont val="宋体"/>
        <family val="3"/>
        <charset val="134"/>
      </rPr>
      <t>驱动转矩</t>
    </r>
    <r>
      <rPr>
        <sz val="11"/>
        <color theme="1"/>
        <rFont val="Tahoma"/>
        <family val="2"/>
      </rPr>
      <t>T(N.m)</t>
    </r>
    <phoneticPr fontId="4" type="noConversion"/>
  </si>
  <si>
    <r>
      <rPr>
        <sz val="11"/>
        <color theme="1"/>
        <rFont val="宋体"/>
        <family val="3"/>
        <charset val="134"/>
      </rPr>
      <t>驱动能</t>
    </r>
    <r>
      <rPr>
        <sz val="11"/>
        <color theme="1"/>
        <rFont val="Tahoma"/>
        <family val="2"/>
      </rPr>
      <t>E2(J)</t>
    </r>
    <phoneticPr fontId="4" type="noConversion"/>
  </si>
  <si>
    <r>
      <rPr>
        <sz val="11"/>
        <color theme="1"/>
        <rFont val="宋体"/>
        <family val="3"/>
        <charset val="134"/>
      </rPr>
      <t>旋转半径</t>
    </r>
    <r>
      <rPr>
        <sz val="11"/>
        <color theme="1"/>
        <rFont val="Tahoma"/>
        <family val="2"/>
      </rPr>
      <t>R(mm)</t>
    </r>
    <phoneticPr fontId="4" type="noConversion"/>
  </si>
  <si>
    <t>转轴到撞击点距离</t>
    <phoneticPr fontId="4" type="noConversion"/>
  </si>
  <si>
    <t>E2=TL/R</t>
    <phoneticPr fontId="4" type="noConversion"/>
  </si>
  <si>
    <r>
      <rPr>
        <sz val="12"/>
        <color theme="1"/>
        <rFont val="宋体"/>
        <family val="3"/>
        <charset val="134"/>
      </rPr>
      <t>说明：</t>
    </r>
    <r>
      <rPr>
        <sz val="12"/>
        <color theme="1"/>
        <rFont val="Tahoma"/>
        <family val="2"/>
      </rPr>
      <t xml:space="preserve"> 
      </t>
    </r>
    <r>
      <rPr>
        <sz val="12"/>
        <color theme="1"/>
        <rFont val="宋体"/>
        <family val="3"/>
        <charset val="134"/>
      </rPr>
      <t>油压缓冲器多用于气缸缓冲，主要计算缓冲吸收能量。</t>
    </r>
    <phoneticPr fontId="4" type="noConversion"/>
  </si>
  <si>
    <r>
      <rPr>
        <sz val="11"/>
        <color theme="1"/>
        <rFont val="宋体"/>
        <family val="3"/>
        <charset val="134"/>
      </rPr>
      <t xml:space="preserve">文档信息
编写：图惜
参考：《油压缓冲器选型》
</t>
    </r>
    <r>
      <rPr>
        <sz val="11"/>
        <color theme="1"/>
        <rFont val="Tahoma"/>
        <family val="2"/>
      </rPr>
      <t xml:space="preserve">                                                                                       2018.9.14</t>
    </r>
    <phoneticPr fontId="4" type="noConversion"/>
  </si>
  <si>
    <t>图1 直线运动布局示意图</t>
    <phoneticPr fontId="4" type="noConversion"/>
  </si>
  <si>
    <r>
      <rPr>
        <sz val="11"/>
        <color theme="1"/>
        <rFont val="宋体"/>
        <family val="3"/>
        <charset val="134"/>
      </rPr>
      <t>表</t>
    </r>
    <r>
      <rPr>
        <sz val="11"/>
        <color theme="1"/>
        <rFont val="Tahoma"/>
        <family val="2"/>
        <charset val="134"/>
      </rPr>
      <t xml:space="preserve">1  </t>
    </r>
    <r>
      <rPr>
        <sz val="11"/>
        <color theme="1"/>
        <rFont val="宋体"/>
        <family val="3"/>
        <charset val="134"/>
      </rPr>
      <t xml:space="preserve">螺栓截强度查询
</t>
    </r>
    <phoneticPr fontId="4" type="noConversion"/>
  </si>
  <si>
    <t>粗牙</t>
    <phoneticPr fontId="4" type="noConversion"/>
  </si>
  <si>
    <t>小径(mm)</t>
    <phoneticPr fontId="4" type="noConversion"/>
  </si>
  <si>
    <t>强度等级</t>
    <phoneticPr fontId="4" type="noConversion"/>
  </si>
  <si>
    <t>螺距(mm)</t>
    <phoneticPr fontId="4" type="noConversion"/>
  </si>
  <si>
    <t>预紧力矩K值表</t>
  </si>
  <si>
    <t>摩擦表面状况</t>
  </si>
  <si>
    <t>有润滑</t>
  </si>
  <si>
    <t>无润滑</t>
  </si>
  <si>
    <t>精加工表面</t>
  </si>
  <si>
    <t>一般加工表面</t>
  </si>
  <si>
    <t>0.13-0.15</t>
  </si>
  <si>
    <t>0.18-0.21</t>
  </si>
  <si>
    <t>表面氧化</t>
  </si>
  <si>
    <t>镀锌表面</t>
  </si>
  <si>
    <t>干燥的粗加工表面</t>
  </si>
  <si>
    <t>0.26-0.3</t>
  </si>
  <si>
    <t>公称直径</t>
    <phoneticPr fontId="4" type="noConversion"/>
  </si>
  <si>
    <t>牙型</t>
    <phoneticPr fontId="4" type="noConversion"/>
  </si>
  <si>
    <t>截面(mm²)</t>
    <phoneticPr fontId="4" type="noConversion"/>
  </si>
  <si>
    <r>
      <t>预紧力</t>
    </r>
    <r>
      <rPr>
        <sz val="10"/>
        <color theme="1"/>
        <rFont val="Tahoma"/>
        <family val="2"/>
      </rPr>
      <t>F(kN)</t>
    </r>
    <phoneticPr fontId="4" type="noConversion"/>
  </si>
  <si>
    <t>注：请选择相应的预紧力矩K值输入表1中O6单元格！</t>
    <phoneticPr fontId="4" type="noConversion"/>
  </si>
  <si>
    <r>
      <rPr>
        <sz val="11"/>
        <color theme="1"/>
        <rFont val="宋体"/>
        <family val="3"/>
        <charset val="134"/>
      </rPr>
      <t>查附表</t>
    </r>
    <r>
      <rPr>
        <sz val="11"/>
        <color theme="1"/>
        <rFont val="Tahoma"/>
        <family val="2"/>
      </rPr>
      <t>K</t>
    </r>
    <r>
      <rPr>
        <sz val="11"/>
        <color theme="1"/>
        <rFont val="宋体"/>
        <family val="3"/>
        <charset val="134"/>
      </rPr>
      <t>值输入下方</t>
    </r>
    <phoneticPr fontId="4" type="noConversion"/>
  </si>
  <si>
    <r>
      <rPr>
        <sz val="10"/>
        <color theme="1"/>
        <rFont val="宋体"/>
        <family val="3"/>
        <charset val="134"/>
      </rPr>
      <t>预紧</t>
    </r>
    <r>
      <rPr>
        <sz val="10"/>
        <color theme="1"/>
        <rFont val="Tahoma"/>
        <family val="2"/>
        <charset val="134"/>
      </rPr>
      <t>T(Nm)</t>
    </r>
    <phoneticPr fontId="4" type="noConversion"/>
  </si>
  <si>
    <t>0.8T(Nm)</t>
    <phoneticPr fontId="4" type="noConversion"/>
  </si>
  <si>
    <r>
      <rPr>
        <sz val="11"/>
        <color theme="1"/>
        <rFont val="宋体"/>
        <family val="3"/>
        <charset val="134"/>
      </rPr>
      <t>通常取</t>
    </r>
    <r>
      <rPr>
        <sz val="11"/>
        <color theme="1"/>
        <rFont val="Tahoma"/>
        <family val="2"/>
        <charset val="134"/>
      </rPr>
      <t>T</t>
    </r>
    <r>
      <rPr>
        <sz val="11"/>
        <color theme="1"/>
        <rFont val="宋体"/>
        <family val="3"/>
        <charset val="134"/>
      </rPr>
      <t>计算值的</t>
    </r>
    <r>
      <rPr>
        <sz val="11"/>
        <color theme="1"/>
        <rFont val="Tahoma"/>
        <family val="2"/>
        <charset val="134"/>
      </rPr>
      <t>0.8</t>
    </r>
    <r>
      <rPr>
        <sz val="11"/>
        <color theme="1"/>
        <rFont val="宋体"/>
        <family val="3"/>
        <charset val="134"/>
      </rPr>
      <t>倍左右作为实际应用的拧紧力矩值</t>
    </r>
    <r>
      <rPr>
        <sz val="11"/>
        <color theme="1"/>
        <rFont val="Tahoma"/>
        <family val="2"/>
        <charset val="134"/>
      </rPr>
      <t>.</t>
    </r>
    <phoneticPr fontId="4" type="noConversion"/>
  </si>
  <si>
    <t>M6-M16</t>
    <phoneticPr fontId="4" type="noConversion"/>
  </si>
  <si>
    <t>合金钢</t>
    <phoneticPr fontId="4" type="noConversion"/>
  </si>
  <si>
    <t>5~4</t>
    <phoneticPr fontId="4" type="noConversion"/>
  </si>
  <si>
    <t>M16~M30</t>
    <phoneticPr fontId="4" type="noConversion"/>
  </si>
  <si>
    <t>公称型号</t>
    <phoneticPr fontId="4" type="noConversion"/>
  </si>
  <si>
    <t>不控制预紧力时的最小安全系数</t>
    <phoneticPr fontId="4" type="noConversion"/>
  </si>
  <si>
    <t>控制预紧力时的最小安全系数</t>
    <phoneticPr fontId="4" type="noConversion"/>
  </si>
  <si>
    <r>
      <rPr>
        <sz val="11"/>
        <color theme="1"/>
        <rFont val="宋体"/>
        <family val="3"/>
        <charset val="134"/>
      </rPr>
      <t>抗拉</t>
    </r>
    <r>
      <rPr>
        <sz val="11"/>
        <color theme="1"/>
        <rFont val="Tahoma"/>
        <family val="2"/>
        <charset val="134"/>
      </rPr>
      <t>Fb(kN)</t>
    </r>
    <phoneticPr fontId="4" type="noConversion"/>
  </si>
  <si>
    <r>
      <rPr>
        <sz val="11"/>
        <color theme="1"/>
        <rFont val="宋体"/>
        <family val="3"/>
        <charset val="134"/>
      </rPr>
      <t>屈服</t>
    </r>
    <r>
      <rPr>
        <sz val="11"/>
        <color theme="1"/>
        <rFont val="Tahoma"/>
        <family val="2"/>
        <charset val="134"/>
      </rPr>
      <t>Fs(kN)</t>
    </r>
    <phoneticPr fontId="4" type="noConversion"/>
  </si>
  <si>
    <r>
      <rPr>
        <sz val="11"/>
        <color theme="1"/>
        <rFont val="宋体"/>
        <family val="3"/>
        <charset val="134"/>
      </rPr>
      <t>负载最大受力</t>
    </r>
    <r>
      <rPr>
        <sz val="11"/>
        <color theme="1"/>
        <rFont val="Tahoma"/>
        <family val="2"/>
      </rPr>
      <t>F(KN)</t>
    </r>
    <phoneticPr fontId="4" type="noConversion"/>
  </si>
  <si>
    <r>
      <rPr>
        <sz val="11"/>
        <color theme="1"/>
        <rFont val="宋体"/>
        <family val="3"/>
        <charset val="134"/>
      </rPr>
      <t>所需螺栓</t>
    </r>
    <r>
      <rPr>
        <sz val="11"/>
        <color theme="1"/>
        <rFont val="Tahoma"/>
        <family val="2"/>
      </rPr>
      <t>/</t>
    </r>
    <r>
      <rPr>
        <sz val="11"/>
        <color theme="1"/>
        <rFont val="宋体"/>
        <family val="3"/>
        <charset val="134"/>
      </rPr>
      <t>螺钉最少</t>
    </r>
    <r>
      <rPr>
        <sz val="11"/>
        <color theme="1"/>
        <rFont val="宋体"/>
        <family val="3"/>
        <charset val="134"/>
      </rPr>
      <t>数量</t>
    </r>
    <phoneticPr fontId="4" type="noConversion"/>
  </si>
  <si>
    <r>
      <rPr>
        <sz val="11"/>
        <color theme="1"/>
        <rFont val="宋体"/>
        <family val="3"/>
        <charset val="134"/>
      </rPr>
      <t>螺栓</t>
    </r>
    <r>
      <rPr>
        <sz val="11"/>
        <color theme="1"/>
        <rFont val="宋体"/>
        <family val="3"/>
        <charset val="134"/>
      </rPr>
      <t>直径与强度等级选择</t>
    </r>
    <phoneticPr fontId="4" type="noConversion"/>
  </si>
  <si>
    <t>拉力计算校核</t>
    <phoneticPr fontId="4" type="noConversion"/>
  </si>
  <si>
    <r>
      <rPr>
        <sz val="11"/>
        <color theme="1"/>
        <rFont val="宋体"/>
        <family val="3"/>
        <charset val="134"/>
      </rPr>
      <t>表</t>
    </r>
    <r>
      <rPr>
        <sz val="11"/>
        <color theme="1"/>
        <rFont val="Tahoma"/>
        <family val="2"/>
        <charset val="134"/>
      </rPr>
      <t xml:space="preserve">2 </t>
    </r>
    <r>
      <rPr>
        <sz val="11"/>
        <color theme="1"/>
        <rFont val="宋体"/>
        <family val="3"/>
        <charset val="134"/>
      </rPr>
      <t>许用拉力最小安全系数</t>
    </r>
    <r>
      <rPr>
        <sz val="11"/>
        <color theme="1"/>
        <rFont val="Tahoma"/>
        <family val="2"/>
        <charset val="134"/>
      </rPr>
      <t>K</t>
    </r>
    <r>
      <rPr>
        <sz val="11"/>
        <color theme="1"/>
        <rFont val="宋体"/>
        <family val="3"/>
        <charset val="134"/>
      </rPr>
      <t>选择</t>
    </r>
    <phoneticPr fontId="4" type="noConversion"/>
  </si>
  <si>
    <t>静载荷</t>
    <phoneticPr fontId="4" type="noConversion"/>
  </si>
  <si>
    <t>载荷形式</t>
    <phoneticPr fontId="4" type="noConversion"/>
  </si>
  <si>
    <t>动载荷</t>
    <phoneticPr fontId="4" type="noConversion"/>
  </si>
  <si>
    <r>
      <rPr>
        <sz val="11"/>
        <color theme="1"/>
        <rFont val="宋体"/>
        <family val="3"/>
        <charset val="134"/>
      </rPr>
      <t>螺栓屈服强度</t>
    </r>
    <r>
      <rPr>
        <sz val="11"/>
        <color theme="1"/>
        <rFont val="Tahoma"/>
        <family val="2"/>
      </rPr>
      <t>Fs(kN)</t>
    </r>
    <phoneticPr fontId="4" type="noConversion"/>
  </si>
  <si>
    <t>螺栓螺钉强度计算</t>
    <phoneticPr fontId="4" type="noConversion"/>
  </si>
  <si>
    <r>
      <rPr>
        <sz val="11"/>
        <color theme="1"/>
        <rFont val="宋体"/>
        <family val="3"/>
        <charset val="134"/>
      </rPr>
      <t>弹簧线径</t>
    </r>
    <r>
      <rPr>
        <sz val="11"/>
        <color theme="1"/>
        <rFont val="Tahoma"/>
        <family val="2"/>
        <charset val="134"/>
      </rPr>
      <t>d(mm)</t>
    </r>
    <phoneticPr fontId="4" type="noConversion"/>
  </si>
  <si>
    <r>
      <rPr>
        <sz val="11"/>
        <color theme="1"/>
        <rFont val="宋体"/>
        <family val="3"/>
        <charset val="134"/>
      </rPr>
      <t>弹簧中经</t>
    </r>
    <r>
      <rPr>
        <sz val="11"/>
        <color theme="1"/>
        <rFont val="Tahoma"/>
        <family val="2"/>
        <charset val="134"/>
      </rPr>
      <t>D(mm)</t>
    </r>
    <phoneticPr fontId="4" type="noConversion"/>
  </si>
  <si>
    <t>弹簧总圈数</t>
    <phoneticPr fontId="4" type="noConversion"/>
  </si>
  <si>
    <t>除去两端磨平死圈</t>
    <phoneticPr fontId="4" type="noConversion"/>
  </si>
  <si>
    <t>弹簧有效圈数N</t>
    <phoneticPr fontId="4" type="noConversion"/>
  </si>
  <si>
    <r>
      <rPr>
        <sz val="11"/>
        <color theme="1"/>
        <rFont val="宋体"/>
        <family val="3"/>
        <charset val="134"/>
      </rPr>
      <t>材料切变模量</t>
    </r>
    <r>
      <rPr>
        <sz val="11"/>
        <color theme="1"/>
        <rFont val="Tahoma"/>
        <family val="2"/>
      </rPr>
      <t>G(GPa)</t>
    </r>
    <phoneticPr fontId="4" type="noConversion"/>
  </si>
  <si>
    <t>材 料</t>
    <phoneticPr fontId="4" type="noConversion"/>
  </si>
  <si>
    <r>
      <rPr>
        <sz val="11"/>
        <color theme="1"/>
        <rFont val="宋体"/>
        <family val="3"/>
        <charset val="134"/>
      </rPr>
      <t>不锈钢丝</t>
    </r>
    <r>
      <rPr>
        <sz val="11"/>
        <color theme="1"/>
        <rFont val="Tahoma"/>
        <family val="2"/>
      </rPr>
      <t xml:space="preserve"> 302,304,316</t>
    </r>
    <phoneticPr fontId="4" type="noConversion"/>
  </si>
  <si>
    <r>
      <rPr>
        <sz val="11"/>
        <color theme="1"/>
        <rFont val="宋体"/>
        <family val="3"/>
        <charset val="134"/>
      </rPr>
      <t>硅青铜线</t>
    </r>
    <r>
      <rPr>
        <sz val="11"/>
        <color theme="1"/>
        <rFont val="Tahoma"/>
        <family val="2"/>
      </rPr>
      <t xml:space="preserve"> QSn3-1</t>
    </r>
    <phoneticPr fontId="4" type="noConversion"/>
  </si>
  <si>
    <r>
      <rPr>
        <sz val="11"/>
        <color theme="1"/>
        <rFont val="宋体"/>
        <family val="3"/>
        <charset val="134"/>
      </rPr>
      <t>锡青铜线</t>
    </r>
    <r>
      <rPr>
        <sz val="11"/>
        <color theme="1"/>
        <rFont val="Tahoma"/>
        <family val="2"/>
      </rPr>
      <t xml:space="preserve"> QBe1.7</t>
    </r>
    <r>
      <rPr>
        <sz val="11"/>
        <color theme="1"/>
        <rFont val="宋体"/>
        <family val="3"/>
        <charset val="134"/>
      </rPr>
      <t>，</t>
    </r>
    <r>
      <rPr>
        <sz val="11"/>
        <color theme="1"/>
        <rFont val="Tahoma"/>
        <family val="2"/>
      </rPr>
      <t>QBe2……</t>
    </r>
    <phoneticPr fontId="4" type="noConversion"/>
  </si>
  <si>
    <r>
      <rPr>
        <sz val="11"/>
        <color theme="1"/>
        <rFont val="宋体"/>
        <family val="3"/>
        <charset val="134"/>
      </rPr>
      <t>锡青铜线</t>
    </r>
    <r>
      <rPr>
        <sz val="11"/>
        <color theme="1"/>
        <rFont val="Tahoma"/>
        <family val="2"/>
      </rPr>
      <t xml:space="preserve"> QSn4</t>
    </r>
    <r>
      <rPr>
        <sz val="11"/>
        <color theme="1"/>
        <rFont val="宋体"/>
        <family val="3"/>
        <charset val="134"/>
      </rPr>
      <t>，</t>
    </r>
    <r>
      <rPr>
        <sz val="11"/>
        <color theme="1"/>
        <rFont val="Tahoma"/>
        <family val="2"/>
      </rPr>
      <t>QSn6.5</t>
    </r>
    <r>
      <rPr>
        <sz val="11"/>
        <color theme="1"/>
        <rFont val="宋体"/>
        <family val="3"/>
        <charset val="134"/>
      </rPr>
      <t>，</t>
    </r>
    <r>
      <rPr>
        <sz val="11"/>
        <color theme="1"/>
        <rFont val="Tahoma"/>
        <family val="2"/>
      </rPr>
      <t>QSn7</t>
    </r>
    <phoneticPr fontId="4" type="noConversion"/>
  </si>
  <si>
    <t>45~50</t>
    <phoneticPr fontId="4" type="noConversion"/>
  </si>
  <si>
    <t>37~40</t>
    <phoneticPr fontId="4" type="noConversion"/>
  </si>
  <si>
    <t>90~100HB</t>
    <phoneticPr fontId="4" type="noConversion"/>
  </si>
  <si>
    <t>65Mn</t>
    <phoneticPr fontId="4" type="noConversion"/>
  </si>
  <si>
    <t>60Mn, 65Mn, 70Mn</t>
    <phoneticPr fontId="4" type="noConversion"/>
  </si>
  <si>
    <t>60~90</t>
    <phoneticPr fontId="4" type="noConversion"/>
  </si>
  <si>
    <t>切变模量G(GPa)</t>
    <phoneticPr fontId="4" type="noConversion"/>
  </si>
  <si>
    <t>弹性模量E(GPa)</t>
    <phoneticPr fontId="4" type="noConversion"/>
  </si>
  <si>
    <t>推荐使用硬度(HRC)</t>
    <phoneticPr fontId="4" type="noConversion"/>
  </si>
  <si>
    <t>特点</t>
    <phoneticPr fontId="4" type="noConversion"/>
  </si>
  <si>
    <t>适用于变载荷、冲击载荷、高温</t>
    <phoneticPr fontId="4" type="noConversion"/>
  </si>
  <si>
    <t>耐腐蚀耐高温，适用于小弹簧</t>
    <phoneticPr fontId="4" type="noConversion"/>
  </si>
  <si>
    <t>强度高加工性能好，适用于小尺寸。但弹性极限低，不能再130°以上工作</t>
    <phoneticPr fontId="4" type="noConversion"/>
  </si>
  <si>
    <t>耐潮湿耐酸耐腐蚀，但弹性极限低，不能再120°以上工作</t>
    <phoneticPr fontId="4" type="noConversion"/>
  </si>
  <si>
    <t>载荷性质</t>
    <phoneticPr fontId="4" type="noConversion"/>
  </si>
  <si>
    <r>
      <rPr>
        <sz val="11"/>
        <color theme="1"/>
        <rFont val="宋体"/>
        <family val="3"/>
        <charset val="134"/>
      </rPr>
      <t>弹簧线径</t>
    </r>
    <r>
      <rPr>
        <sz val="11"/>
        <color theme="1"/>
        <rFont val="Tahoma"/>
        <family val="2"/>
        <charset val="134"/>
      </rPr>
      <t>d(mm)</t>
    </r>
    <phoneticPr fontId="4" type="noConversion"/>
  </si>
  <si>
    <r>
      <rPr>
        <sz val="11"/>
        <color theme="1"/>
        <rFont val="宋体"/>
        <family val="3"/>
        <charset val="134"/>
      </rPr>
      <t>抗拉强度</t>
    </r>
    <r>
      <rPr>
        <sz val="11"/>
        <color theme="1"/>
        <rFont val="Tahoma"/>
        <family val="2"/>
        <charset val="134"/>
      </rPr>
      <t>σb(MPa)</t>
    </r>
    <phoneticPr fontId="4" type="noConversion"/>
  </si>
  <si>
    <r>
      <t>II</t>
    </r>
    <r>
      <rPr>
        <sz val="11"/>
        <color theme="1"/>
        <rFont val="宋体"/>
        <family val="3"/>
        <charset val="134"/>
      </rPr>
      <t>类弹簧</t>
    </r>
    <phoneticPr fontId="4" type="noConversion"/>
  </si>
  <si>
    <r>
      <t>III</t>
    </r>
    <r>
      <rPr>
        <sz val="11"/>
        <color theme="1"/>
        <rFont val="宋体"/>
        <family val="3"/>
        <charset val="134"/>
      </rPr>
      <t>类弹簧</t>
    </r>
    <phoneticPr fontId="4" type="noConversion"/>
  </si>
  <si>
    <t>碳素
弹簧钢</t>
    <phoneticPr fontId="4" type="noConversion"/>
  </si>
  <si>
    <r>
      <rPr>
        <sz val="11"/>
        <color theme="1"/>
        <rFont val="宋体"/>
        <family val="3"/>
        <charset val="134"/>
      </rPr>
      <t>铬钒钢</t>
    </r>
    <r>
      <rPr>
        <sz val="11"/>
        <color theme="1"/>
        <rFont val="Tahoma"/>
        <family val="2"/>
      </rPr>
      <t>50/55/60CrVA</t>
    </r>
    <phoneticPr fontId="4" type="noConversion"/>
  </si>
  <si>
    <r>
      <rPr>
        <sz val="11"/>
        <color theme="1"/>
        <rFont val="宋体"/>
        <family val="3"/>
        <charset val="134"/>
      </rPr>
      <t>硅锰钢</t>
    </r>
    <r>
      <rPr>
        <sz val="11"/>
        <color theme="1"/>
        <rFont val="Tahoma"/>
        <family val="2"/>
      </rPr>
      <t>55/60Si2Mn</t>
    </r>
    <r>
      <rPr>
        <sz val="11"/>
        <color theme="1"/>
        <rFont val="宋体"/>
        <family val="3"/>
        <charset val="134"/>
      </rPr>
      <t>，</t>
    </r>
    <r>
      <rPr>
        <sz val="11"/>
        <color theme="1"/>
        <rFont val="Tahoma"/>
        <family val="2"/>
      </rPr>
      <t>60Si2MnA</t>
    </r>
    <phoneticPr fontId="4" type="noConversion"/>
  </si>
  <si>
    <r>
      <rPr>
        <sz val="11"/>
        <color theme="1"/>
        <rFont val="宋体"/>
        <family val="3"/>
        <charset val="134"/>
      </rPr>
      <t>表</t>
    </r>
    <r>
      <rPr>
        <sz val="11"/>
        <color theme="1"/>
        <rFont val="Tahoma"/>
        <family val="2"/>
      </rPr>
      <t>1</t>
    </r>
    <phoneticPr fontId="4" type="noConversion"/>
  </si>
  <si>
    <r>
      <rPr>
        <sz val="11"/>
        <color theme="1"/>
        <rFont val="宋体"/>
        <family val="3"/>
        <charset val="134"/>
      </rPr>
      <t>许用切应力</t>
    </r>
    <r>
      <rPr>
        <sz val="11"/>
        <color theme="1"/>
        <rFont val="Tahoma"/>
        <family val="2"/>
      </rPr>
      <t>[</t>
    </r>
    <r>
      <rPr>
        <sz val="11"/>
        <color theme="1"/>
        <rFont val="宋体"/>
        <family val="3"/>
        <charset val="134"/>
        <scheme val="minor"/>
      </rPr>
      <t>τ</t>
    </r>
    <r>
      <rPr>
        <sz val="11"/>
        <color theme="1"/>
        <rFont val="Tahoma"/>
        <family val="2"/>
      </rPr>
      <t>](Mpa)</t>
    </r>
    <phoneticPr fontId="4" type="noConversion"/>
  </si>
  <si>
    <t>弹簧类型</t>
    <phoneticPr fontId="4" type="noConversion"/>
  </si>
  <si>
    <r>
      <rPr>
        <b/>
        <sz val="11"/>
        <color theme="1"/>
        <rFont val="宋体"/>
        <family val="3"/>
        <charset val="134"/>
      </rPr>
      <t>拉伸弹簧</t>
    </r>
    <r>
      <rPr>
        <sz val="11"/>
        <color theme="1"/>
        <rFont val="宋体"/>
        <family val="3"/>
        <charset val="134"/>
      </rPr>
      <t>许用切应</t>
    </r>
    <r>
      <rPr>
        <sz val="11"/>
        <color theme="1"/>
        <rFont val="Tahoma"/>
        <family val="2"/>
        <charset val="134"/>
      </rPr>
      <t>[</t>
    </r>
    <r>
      <rPr>
        <sz val="11"/>
        <color theme="1"/>
        <rFont val="宋体"/>
        <family val="3"/>
        <charset val="134"/>
        <scheme val="minor"/>
      </rPr>
      <t>τ</t>
    </r>
    <r>
      <rPr>
        <sz val="11"/>
        <color theme="1"/>
        <rFont val="Tahoma"/>
        <family val="2"/>
        <charset val="134"/>
      </rPr>
      <t>](MPa)</t>
    </r>
    <phoneticPr fontId="4" type="noConversion"/>
  </si>
  <si>
    <r>
      <rPr>
        <sz val="11"/>
        <color theme="1"/>
        <rFont val="宋体"/>
        <family val="3"/>
        <charset val="134"/>
      </rPr>
      <t>旋绕比</t>
    </r>
    <r>
      <rPr>
        <sz val="11"/>
        <color theme="1"/>
        <rFont val="Tahoma"/>
        <family val="2"/>
      </rPr>
      <t>C</t>
    </r>
    <phoneticPr fontId="4" type="noConversion"/>
  </si>
  <si>
    <r>
      <rPr>
        <sz val="11"/>
        <color theme="1"/>
        <rFont val="宋体"/>
        <family val="3"/>
        <charset val="134"/>
      </rPr>
      <t>曲度系数</t>
    </r>
    <r>
      <rPr>
        <sz val="11"/>
        <color theme="1"/>
        <rFont val="Tahoma"/>
        <family val="2"/>
      </rPr>
      <t>ks</t>
    </r>
    <phoneticPr fontId="4" type="noConversion"/>
  </si>
  <si>
    <t>已知条件</t>
    <phoneticPr fontId="4" type="noConversion"/>
  </si>
  <si>
    <t>压缩弹簧</t>
  </si>
  <si>
    <t>判断强度</t>
    <phoneticPr fontId="4" type="noConversion"/>
  </si>
  <si>
    <r>
      <t xml:space="preserve">C=D/d </t>
    </r>
    <r>
      <rPr>
        <sz val="11"/>
        <color theme="1"/>
        <rFont val="宋体"/>
        <family val="3"/>
        <charset val="134"/>
      </rPr>
      <t>表</t>
    </r>
    <r>
      <rPr>
        <sz val="11"/>
        <color theme="1"/>
        <rFont val="Tahoma"/>
        <family val="2"/>
      </rPr>
      <t>2</t>
    </r>
    <phoneticPr fontId="4" type="noConversion"/>
  </si>
  <si>
    <t>弹簧丝直径d（mm）</t>
  </si>
  <si>
    <t>0.2～0.4</t>
  </si>
  <si>
    <t>0.5～1</t>
  </si>
  <si>
    <t>1.1～2.2</t>
  </si>
  <si>
    <t>2.5～6</t>
  </si>
  <si>
    <t>7～16</t>
  </si>
  <si>
    <t>18～40</t>
  </si>
  <si>
    <t>7～14</t>
  </si>
  <si>
    <t>5～12</t>
  </si>
  <si>
    <t>5～10</t>
  </si>
  <si>
    <t>4～10</t>
  </si>
  <si>
    <t>4～8</t>
  </si>
  <si>
    <t>4～6</t>
  </si>
  <si>
    <r>
      <t>表</t>
    </r>
    <r>
      <rPr>
        <sz val="11"/>
        <color theme="1"/>
        <rFont val="Tahoma"/>
        <family val="2"/>
        <charset val="134"/>
      </rPr>
      <t xml:space="preserve">1  </t>
    </r>
    <r>
      <rPr>
        <sz val="11"/>
        <color theme="1"/>
        <rFont val="宋体"/>
        <family val="3"/>
        <charset val="134"/>
      </rPr>
      <t>弹簧常用材料及性能</t>
    </r>
  </si>
  <si>
    <r>
      <t>C</t>
    </r>
    <r>
      <rPr>
        <sz val="11"/>
        <rFont val="MS Mincho"/>
        <family val="3"/>
        <charset val="128"/>
      </rPr>
      <t>取</t>
    </r>
    <r>
      <rPr>
        <sz val="11"/>
        <rFont val="宋体"/>
        <family val="3"/>
        <charset val="134"/>
      </rPr>
      <t>值</t>
    </r>
    <r>
      <rPr>
        <sz val="11"/>
        <rFont val="MS Mincho"/>
        <family val="3"/>
        <charset val="128"/>
      </rPr>
      <t>必</t>
    </r>
    <r>
      <rPr>
        <sz val="11"/>
        <rFont val="宋体"/>
        <family val="3"/>
        <charset val="134"/>
      </rPr>
      <t>须</t>
    </r>
    <r>
      <rPr>
        <sz val="11"/>
        <rFont val="MS Mincho"/>
        <family val="3"/>
        <charset val="128"/>
      </rPr>
      <t>在</t>
    </r>
    <r>
      <rPr>
        <sz val="11"/>
        <rFont val="Arial"/>
        <family val="2"/>
      </rPr>
      <t>4~16</t>
    </r>
    <phoneticPr fontId="4" type="noConversion"/>
  </si>
  <si>
    <r>
      <rPr>
        <sz val="11"/>
        <rFont val="MS Mincho"/>
        <family val="3"/>
        <charset val="128"/>
      </rPr>
      <t>通常取</t>
    </r>
    <r>
      <rPr>
        <sz val="11"/>
        <rFont val="Arial"/>
        <family val="2"/>
      </rPr>
      <t>5~8</t>
    </r>
    <phoneticPr fontId="4" type="noConversion"/>
  </si>
  <si>
    <r>
      <rPr>
        <sz val="11"/>
        <color theme="1"/>
        <rFont val="宋体"/>
        <family val="3"/>
        <charset val="134"/>
      </rPr>
      <t>弹簧刚度</t>
    </r>
    <r>
      <rPr>
        <sz val="11"/>
        <color theme="1"/>
        <rFont val="Tahoma"/>
        <family val="2"/>
      </rPr>
      <t>K(N/mm)</t>
    </r>
    <phoneticPr fontId="4" type="noConversion"/>
  </si>
  <si>
    <r>
      <rPr>
        <sz val="11"/>
        <color theme="1"/>
        <rFont val="宋体"/>
        <family val="3"/>
        <charset val="134"/>
      </rPr>
      <t>长细比</t>
    </r>
    <r>
      <rPr>
        <sz val="11"/>
        <color theme="1"/>
        <rFont val="Tahoma"/>
        <family val="2"/>
      </rPr>
      <t>b</t>
    </r>
    <phoneticPr fontId="4" type="noConversion"/>
  </si>
  <si>
    <r>
      <rPr>
        <sz val="11"/>
        <color theme="1"/>
        <rFont val="宋体"/>
        <family val="3"/>
        <charset val="134"/>
      </rPr>
      <t>弹簧自由长度</t>
    </r>
    <r>
      <rPr>
        <sz val="11"/>
        <color theme="1"/>
        <rFont val="Tahoma"/>
        <family val="2"/>
      </rPr>
      <t>H0(mm)</t>
    </r>
    <phoneticPr fontId="4" type="noConversion"/>
  </si>
  <si>
    <t>弹簧安装方式</t>
    <phoneticPr fontId="4" type="noConversion"/>
  </si>
  <si>
    <t>判断是否失稳</t>
    <phoneticPr fontId="4" type="noConversion"/>
  </si>
  <si>
    <t>两端固定</t>
  </si>
  <si>
    <r>
      <rPr>
        <sz val="11"/>
        <color theme="1"/>
        <rFont val="宋体"/>
        <family val="3"/>
        <charset val="134"/>
      </rPr>
      <t>不稳定系数</t>
    </r>
    <r>
      <rPr>
        <sz val="11"/>
        <color theme="1"/>
        <rFont val="Tahoma"/>
        <family val="2"/>
      </rPr>
      <t>Cu</t>
    </r>
    <phoneticPr fontId="4" type="noConversion"/>
  </si>
  <si>
    <r>
      <rPr>
        <sz val="11"/>
        <color theme="1"/>
        <rFont val="宋体"/>
        <family val="3"/>
        <charset val="134"/>
      </rPr>
      <t>图</t>
    </r>
    <r>
      <rPr>
        <sz val="11"/>
        <color theme="1"/>
        <rFont val="Tahoma"/>
        <family val="2"/>
      </rPr>
      <t>1</t>
    </r>
    <phoneticPr fontId="4" type="noConversion"/>
  </si>
  <si>
    <r>
      <rPr>
        <sz val="11"/>
        <color theme="1"/>
        <rFont val="宋体"/>
        <family val="3"/>
        <charset val="134"/>
      </rPr>
      <t>稳定临界载荷</t>
    </r>
    <r>
      <rPr>
        <sz val="11"/>
        <color theme="1"/>
        <rFont val="Tahoma"/>
        <family val="2"/>
      </rPr>
      <t>Fc(N)</t>
    </r>
    <phoneticPr fontId="4" type="noConversion"/>
  </si>
  <si>
    <r>
      <rPr>
        <sz val="11"/>
        <rFont val="宋体"/>
        <family val="3"/>
        <charset val="134"/>
      </rPr>
      <t>实际负载压</t>
    </r>
    <r>
      <rPr>
        <sz val="11"/>
        <rFont val="Tahoma"/>
        <family val="2"/>
      </rPr>
      <t>F(N)</t>
    </r>
    <phoneticPr fontId="4" type="noConversion"/>
  </si>
  <si>
    <t>判断稳定性</t>
    <phoneticPr fontId="4" type="noConversion"/>
  </si>
  <si>
    <t>1，强度计算</t>
    <phoneticPr fontId="4" type="noConversion"/>
  </si>
  <si>
    <t>2，刚度计算</t>
    <phoneticPr fontId="4" type="noConversion"/>
  </si>
  <si>
    <r>
      <t>3，压缩弹簧稳定性(</t>
    </r>
    <r>
      <rPr>
        <sz val="10"/>
        <color theme="1"/>
        <rFont val="宋体"/>
        <family val="3"/>
        <charset val="134"/>
      </rPr>
      <t>拉伸弹簧不做</t>
    </r>
    <r>
      <rPr>
        <sz val="11"/>
        <color theme="1"/>
        <rFont val="宋体"/>
        <family val="3"/>
        <charset val="134"/>
      </rPr>
      <t>)</t>
    </r>
    <phoneticPr fontId="4" type="noConversion"/>
  </si>
  <si>
    <r>
      <rPr>
        <sz val="11"/>
        <color theme="1"/>
        <rFont val="宋体"/>
        <family val="3"/>
        <charset val="134"/>
      </rPr>
      <t>图</t>
    </r>
    <r>
      <rPr>
        <sz val="11"/>
        <color theme="1"/>
        <rFont val="Tahoma"/>
        <family val="2"/>
        <charset val="134"/>
      </rPr>
      <t>1</t>
    </r>
    <r>
      <rPr>
        <sz val="11"/>
        <color theme="1"/>
        <rFont val="宋体"/>
        <family val="3"/>
        <charset val="134"/>
      </rPr>
      <t>，不稳定系数图</t>
    </r>
    <phoneticPr fontId="4" type="noConversion"/>
  </si>
  <si>
    <t>图2，压缩弹簧失稳与对策</t>
    <phoneticPr fontId="4" type="noConversion"/>
  </si>
  <si>
    <r>
      <t xml:space="preserve">a </t>
    </r>
    <r>
      <rPr>
        <sz val="11"/>
        <color theme="1"/>
        <rFont val="宋体"/>
        <family val="3"/>
        <charset val="134"/>
      </rPr>
      <t>失稳</t>
    </r>
    <phoneticPr fontId="4" type="noConversion"/>
  </si>
  <si>
    <r>
      <t xml:space="preserve">c </t>
    </r>
    <r>
      <rPr>
        <sz val="11"/>
        <color theme="1"/>
        <rFont val="宋体"/>
        <family val="3"/>
        <charset val="134"/>
      </rPr>
      <t>加装导套</t>
    </r>
    <phoneticPr fontId="4" type="noConversion"/>
  </si>
  <si>
    <r>
      <t xml:space="preserve">b </t>
    </r>
    <r>
      <rPr>
        <sz val="11"/>
        <color theme="1"/>
        <rFont val="宋体"/>
        <family val="3"/>
        <charset val="134"/>
      </rPr>
      <t>加装导杆</t>
    </r>
    <phoneticPr fontId="4" type="noConversion"/>
  </si>
  <si>
    <r>
      <rPr>
        <sz val="11"/>
        <color theme="1"/>
        <rFont val="宋体"/>
        <family val="3"/>
        <charset val="134"/>
      </rPr>
      <t>附表</t>
    </r>
    <r>
      <rPr>
        <sz val="11"/>
        <color theme="1"/>
        <rFont val="Tahoma"/>
        <family val="2"/>
        <charset val="134"/>
      </rPr>
      <t xml:space="preserve"> </t>
    </r>
    <r>
      <rPr>
        <sz val="11"/>
        <color theme="1"/>
        <rFont val="宋体"/>
        <family val="3"/>
        <charset val="134"/>
      </rPr>
      <t>导杆</t>
    </r>
    <r>
      <rPr>
        <sz val="11"/>
        <color theme="1"/>
        <rFont val="Tahoma"/>
        <family val="2"/>
        <charset val="134"/>
      </rPr>
      <t>/</t>
    </r>
    <r>
      <rPr>
        <sz val="11"/>
        <color theme="1"/>
        <rFont val="宋体"/>
        <family val="3"/>
        <charset val="134"/>
      </rPr>
      <t>导套与弹簧间距</t>
    </r>
    <r>
      <rPr>
        <sz val="11"/>
        <color theme="1"/>
        <rFont val="Tahoma"/>
        <family val="2"/>
        <charset val="134"/>
      </rPr>
      <t>c</t>
    </r>
    <phoneticPr fontId="4" type="noConversion"/>
  </si>
  <si>
    <r>
      <rPr>
        <sz val="10"/>
        <color theme="1"/>
        <rFont val="宋体"/>
        <family val="3"/>
        <charset val="134"/>
      </rPr>
      <t>中径</t>
    </r>
    <r>
      <rPr>
        <sz val="10"/>
        <color theme="1"/>
        <rFont val="Tahoma"/>
        <family val="2"/>
        <charset val="134"/>
      </rPr>
      <t>D(mm)</t>
    </r>
    <phoneticPr fontId="4" type="noConversion"/>
  </si>
  <si>
    <r>
      <rPr>
        <sz val="10"/>
        <color theme="1"/>
        <rFont val="宋体"/>
        <family val="3"/>
        <charset val="134"/>
      </rPr>
      <t>间隙</t>
    </r>
    <r>
      <rPr>
        <sz val="10"/>
        <color theme="1"/>
        <rFont val="Tahoma"/>
        <family val="2"/>
        <charset val="134"/>
      </rPr>
      <t>c(mm)</t>
    </r>
    <phoneticPr fontId="4" type="noConversion"/>
  </si>
  <si>
    <r>
      <rPr>
        <sz val="11"/>
        <color theme="1"/>
        <rFont val="宋体"/>
        <family val="3"/>
        <charset val="134"/>
      </rPr>
      <t>≤</t>
    </r>
    <r>
      <rPr>
        <sz val="11"/>
        <color theme="1"/>
        <rFont val="Tahoma"/>
        <family val="2"/>
        <charset val="134"/>
      </rPr>
      <t>5</t>
    </r>
    <phoneticPr fontId="4" type="noConversion"/>
  </si>
  <si>
    <r>
      <rPr>
        <sz val="11"/>
        <color theme="1"/>
        <rFont val="宋体"/>
        <family val="3"/>
        <charset val="134"/>
      </rPr>
      <t>＞</t>
    </r>
    <r>
      <rPr>
        <sz val="11"/>
        <color theme="1"/>
        <rFont val="Tahoma"/>
        <family val="2"/>
        <charset val="134"/>
      </rPr>
      <t>5~10</t>
    </r>
    <phoneticPr fontId="4" type="noConversion"/>
  </si>
  <si>
    <r>
      <rPr>
        <sz val="11"/>
        <color theme="1"/>
        <rFont val="宋体"/>
        <family val="3"/>
        <charset val="134"/>
      </rPr>
      <t>＞</t>
    </r>
    <r>
      <rPr>
        <sz val="11"/>
        <color theme="1"/>
        <rFont val="Tahoma"/>
        <family val="2"/>
        <charset val="134"/>
      </rPr>
      <t>10~18</t>
    </r>
    <phoneticPr fontId="4" type="noConversion"/>
  </si>
  <si>
    <r>
      <rPr>
        <sz val="11"/>
        <color theme="1"/>
        <rFont val="宋体"/>
        <family val="3"/>
        <charset val="134"/>
      </rPr>
      <t>＞</t>
    </r>
    <r>
      <rPr>
        <sz val="11"/>
        <color theme="1"/>
        <rFont val="Tahoma"/>
        <family val="2"/>
        <charset val="134"/>
      </rPr>
      <t>18~30</t>
    </r>
    <phoneticPr fontId="4" type="noConversion"/>
  </si>
  <si>
    <r>
      <rPr>
        <sz val="11"/>
        <color theme="1"/>
        <rFont val="宋体"/>
        <family val="3"/>
        <charset val="134"/>
      </rPr>
      <t>＞</t>
    </r>
    <r>
      <rPr>
        <sz val="11"/>
        <color theme="1"/>
        <rFont val="Tahoma"/>
        <family val="2"/>
        <charset val="134"/>
      </rPr>
      <t>30~50</t>
    </r>
    <phoneticPr fontId="4" type="noConversion"/>
  </si>
  <si>
    <r>
      <rPr>
        <sz val="11"/>
        <color theme="1"/>
        <rFont val="宋体"/>
        <family val="3"/>
        <charset val="134"/>
      </rPr>
      <t>＞</t>
    </r>
    <r>
      <rPr>
        <sz val="11"/>
        <color theme="1"/>
        <rFont val="Tahoma"/>
        <family val="2"/>
        <charset val="134"/>
      </rPr>
      <t>50~80</t>
    </r>
    <phoneticPr fontId="4" type="noConversion"/>
  </si>
  <si>
    <r>
      <t>＞80</t>
    </r>
    <r>
      <rPr>
        <sz val="11"/>
        <color theme="1"/>
        <rFont val="Tahoma"/>
        <family val="2"/>
        <charset val="134"/>
      </rPr>
      <t>~120</t>
    </r>
    <phoneticPr fontId="4" type="noConversion"/>
  </si>
  <si>
    <r>
      <rPr>
        <sz val="11"/>
        <color theme="1"/>
        <rFont val="宋体"/>
        <family val="3"/>
        <charset val="134"/>
      </rPr>
      <t>说明：
如果</t>
    </r>
    <r>
      <rPr>
        <sz val="11"/>
        <color theme="1"/>
        <rFont val="Tahoma"/>
        <family val="2"/>
      </rPr>
      <t>F&gt;Fc</t>
    </r>
    <r>
      <rPr>
        <sz val="11"/>
        <color theme="1"/>
        <rFont val="宋体"/>
        <family val="3"/>
        <charset val="134"/>
      </rPr>
      <t>，应重新选择有关参数，改变</t>
    </r>
    <r>
      <rPr>
        <sz val="11"/>
        <color theme="1"/>
        <rFont val="Tahoma"/>
        <family val="2"/>
      </rPr>
      <t>b</t>
    </r>
    <r>
      <rPr>
        <sz val="11"/>
        <color theme="1"/>
        <rFont val="宋体"/>
        <family val="3"/>
        <charset val="134"/>
      </rPr>
      <t>值，提高</t>
    </r>
    <r>
      <rPr>
        <sz val="11"/>
        <color theme="1"/>
        <rFont val="Tahoma"/>
        <family val="2"/>
      </rPr>
      <t>Fc</t>
    </r>
    <r>
      <rPr>
        <sz val="11"/>
        <color theme="1"/>
        <rFont val="宋体"/>
        <family val="3"/>
        <charset val="134"/>
      </rPr>
      <t>的大小，使其大于负载</t>
    </r>
    <r>
      <rPr>
        <sz val="11"/>
        <color theme="1"/>
        <rFont val="Tahoma"/>
        <family val="2"/>
      </rPr>
      <t>F</t>
    </r>
    <r>
      <rPr>
        <sz val="11"/>
        <color theme="1"/>
        <rFont val="宋体"/>
        <family val="3"/>
        <charset val="134"/>
      </rPr>
      <t xml:space="preserve">之值，以保证弹簧的稳定性。
</t>
    </r>
    <r>
      <rPr>
        <b/>
        <sz val="11"/>
        <color theme="1"/>
        <rFont val="宋体"/>
        <family val="3"/>
        <charset val="134"/>
      </rPr>
      <t>若受结构限制而不能改变参数时</t>
    </r>
    <r>
      <rPr>
        <sz val="11"/>
        <color theme="1"/>
        <rFont val="宋体"/>
        <family val="3"/>
        <charset val="134"/>
      </rPr>
      <t>，就应该参照</t>
    </r>
    <r>
      <rPr>
        <sz val="11"/>
        <color rgb="FFFF0000"/>
        <rFont val="宋体"/>
        <family val="3"/>
        <charset val="134"/>
      </rPr>
      <t>图</t>
    </r>
    <r>
      <rPr>
        <sz val="11"/>
        <color rgb="FFFF0000"/>
        <rFont val="Tahoma"/>
        <family val="2"/>
      </rPr>
      <t>2</t>
    </r>
    <r>
      <rPr>
        <sz val="11"/>
        <color theme="1"/>
        <rFont val="宋体"/>
        <family val="3"/>
        <charset val="134"/>
      </rPr>
      <t>加装图</t>
    </r>
    <r>
      <rPr>
        <sz val="11"/>
        <color theme="1"/>
        <rFont val="Tahoma"/>
        <family val="2"/>
      </rPr>
      <t>b</t>
    </r>
    <r>
      <rPr>
        <sz val="11"/>
        <color theme="1"/>
        <rFont val="宋体"/>
        <family val="3"/>
        <charset val="134"/>
      </rPr>
      <t>、</t>
    </r>
    <r>
      <rPr>
        <sz val="11"/>
        <color theme="1"/>
        <rFont val="Tahoma"/>
        <family val="2"/>
      </rPr>
      <t>c</t>
    </r>
    <r>
      <rPr>
        <sz val="11"/>
        <color theme="1"/>
        <rFont val="宋体"/>
        <family val="3"/>
        <charset val="134"/>
      </rPr>
      <t>所示的导杆或导套，此时需注意导杆</t>
    </r>
    <r>
      <rPr>
        <sz val="11"/>
        <color theme="1"/>
        <rFont val="Tahoma"/>
        <family val="2"/>
      </rPr>
      <t>/</t>
    </r>
    <r>
      <rPr>
        <sz val="11"/>
        <color theme="1"/>
        <rFont val="宋体"/>
        <family val="3"/>
        <charset val="134"/>
      </rPr>
      <t>套与弹簧间距</t>
    </r>
    <r>
      <rPr>
        <sz val="11"/>
        <color theme="1"/>
        <rFont val="Tahoma"/>
        <family val="2"/>
      </rPr>
      <t>(</t>
    </r>
    <r>
      <rPr>
        <sz val="11"/>
        <color theme="1"/>
        <rFont val="宋体"/>
        <family val="3"/>
        <charset val="134"/>
      </rPr>
      <t>见附表</t>
    </r>
    <r>
      <rPr>
        <sz val="11"/>
        <color theme="1"/>
        <rFont val="Tahoma"/>
        <family val="2"/>
      </rPr>
      <t>)</t>
    </r>
    <phoneticPr fontId="4" type="noConversion"/>
  </si>
  <si>
    <r>
      <rPr>
        <sz val="11"/>
        <color theme="1"/>
        <rFont val="宋体"/>
        <family val="3"/>
        <charset val="134"/>
      </rPr>
      <t>表</t>
    </r>
    <r>
      <rPr>
        <sz val="11"/>
        <color theme="1"/>
        <rFont val="Tahoma"/>
        <family val="2"/>
        <charset val="134"/>
      </rPr>
      <t xml:space="preserve">2 </t>
    </r>
    <r>
      <rPr>
        <sz val="11"/>
        <color theme="1"/>
        <rFont val="宋体"/>
        <family val="3"/>
        <charset val="134"/>
      </rPr>
      <t>旋绕比</t>
    </r>
    <r>
      <rPr>
        <sz val="11"/>
        <color theme="1"/>
        <rFont val="Tahoma"/>
        <family val="2"/>
        <charset val="134"/>
      </rPr>
      <t>(</t>
    </r>
    <r>
      <rPr>
        <sz val="11"/>
        <color theme="1"/>
        <rFont val="宋体"/>
        <family val="3"/>
        <charset val="134"/>
      </rPr>
      <t>弹簧指数</t>
    </r>
    <r>
      <rPr>
        <sz val="11"/>
        <color theme="1"/>
        <rFont val="Tahoma"/>
        <family val="2"/>
        <charset val="134"/>
      </rPr>
      <t>)</t>
    </r>
    <r>
      <rPr>
        <sz val="11"/>
        <color theme="1"/>
        <rFont val="Tahoma"/>
        <family val="2"/>
        <charset val="134"/>
      </rPr>
      <t>C=D/d</t>
    </r>
    <r>
      <rPr>
        <sz val="11"/>
        <color theme="1"/>
        <rFont val="宋体"/>
        <family val="3"/>
        <charset val="134"/>
      </rPr>
      <t>，弹簧指数愈小，其刚度愈大，弹簧愈硬，弹簧内外侧的应力相差愈大，材料利用率低；反之弹簧愈软。</t>
    </r>
    <phoneticPr fontId="4" type="noConversion"/>
  </si>
  <si>
    <r>
      <rPr>
        <sz val="11"/>
        <color theme="1"/>
        <rFont val="宋体"/>
        <family val="3"/>
        <charset val="134"/>
      </rPr>
      <t>附图</t>
    </r>
    <r>
      <rPr>
        <sz val="11"/>
        <color theme="1"/>
        <rFont val="Tahoma"/>
        <family val="2"/>
        <charset val="134"/>
      </rPr>
      <t xml:space="preserve"> </t>
    </r>
    <r>
      <rPr>
        <sz val="11"/>
        <color theme="1"/>
        <rFont val="宋体"/>
        <family val="3"/>
        <charset val="134"/>
      </rPr>
      <t>弹簧尺寸</t>
    </r>
    <phoneticPr fontId="4" type="noConversion"/>
  </si>
  <si>
    <r>
      <rPr>
        <sz val="11"/>
        <color theme="1"/>
        <rFont val="宋体"/>
        <family val="3"/>
        <charset val="134"/>
      </rPr>
      <t>附表</t>
    </r>
    <r>
      <rPr>
        <sz val="11"/>
        <color theme="1"/>
        <rFont val="Tahoma"/>
        <family val="2"/>
        <charset val="134"/>
      </rPr>
      <t xml:space="preserve"> </t>
    </r>
    <r>
      <rPr>
        <sz val="11"/>
        <color theme="1"/>
        <rFont val="宋体"/>
        <family val="3"/>
        <charset val="134"/>
      </rPr>
      <t>预紧力矩</t>
    </r>
    <r>
      <rPr>
        <sz val="11"/>
        <color theme="1"/>
        <rFont val="Tahoma"/>
        <family val="2"/>
        <charset val="134"/>
      </rPr>
      <t>K</t>
    </r>
    <r>
      <rPr>
        <sz val="11"/>
        <color theme="1"/>
        <rFont val="宋体"/>
        <family val="3"/>
        <charset val="134"/>
      </rPr>
      <t>值取值范围</t>
    </r>
    <r>
      <rPr>
        <sz val="11"/>
        <color theme="1"/>
        <rFont val="Tahoma"/>
        <family val="2"/>
        <charset val="134"/>
      </rPr>
      <t>(</t>
    </r>
    <r>
      <rPr>
        <sz val="11"/>
        <color theme="1"/>
        <rFont val="宋体"/>
        <family val="3"/>
        <charset val="134"/>
      </rPr>
      <t>《机械设计》推荐</t>
    </r>
    <r>
      <rPr>
        <sz val="11"/>
        <color theme="1"/>
        <rFont val="Tahoma"/>
        <family val="2"/>
        <charset val="134"/>
      </rPr>
      <t>0.2)</t>
    </r>
    <phoneticPr fontId="4" type="noConversion"/>
  </si>
  <si>
    <t>4~2.5</t>
    <phoneticPr fontId="4" type="noConversion"/>
  </si>
  <si>
    <t>M30~M60</t>
    <phoneticPr fontId="4" type="noConversion"/>
  </si>
  <si>
    <t>2.5~2</t>
    <phoneticPr fontId="4" type="noConversion"/>
  </si>
  <si>
    <t>5.7~5</t>
    <phoneticPr fontId="4" type="noConversion"/>
  </si>
  <si>
    <t>5~3.4</t>
    <phoneticPr fontId="4" type="noConversion"/>
  </si>
  <si>
    <t>3.4~3</t>
    <phoneticPr fontId="4" type="noConversion"/>
  </si>
  <si>
    <t>静载荷</t>
    <phoneticPr fontId="4" type="noConversion"/>
  </si>
  <si>
    <t>变载荷</t>
    <phoneticPr fontId="4" type="noConversion"/>
  </si>
  <si>
    <t>12.5~8.5</t>
    <phoneticPr fontId="4" type="noConversion"/>
  </si>
  <si>
    <t>10~6.8</t>
    <phoneticPr fontId="4" type="noConversion"/>
  </si>
  <si>
    <t>8.5~12.5</t>
    <phoneticPr fontId="4" type="noConversion"/>
  </si>
  <si>
    <t>6.8~10</t>
    <phoneticPr fontId="4" type="noConversion"/>
  </si>
  <si>
    <t>松螺栓连接</t>
    <phoneticPr fontId="4" type="noConversion"/>
  </si>
  <si>
    <t>1.2~1.7</t>
    <phoneticPr fontId="4" type="noConversion"/>
  </si>
  <si>
    <t>3.5~5</t>
    <phoneticPr fontId="4" type="noConversion"/>
  </si>
  <si>
    <t>剪切计算校核</t>
    <phoneticPr fontId="4" type="noConversion"/>
  </si>
  <si>
    <r>
      <rPr>
        <sz val="11"/>
        <color theme="1"/>
        <rFont val="宋体"/>
        <family val="3"/>
        <charset val="134"/>
      </rPr>
      <t>负载最大剪切力</t>
    </r>
    <r>
      <rPr>
        <sz val="11"/>
        <color theme="1"/>
        <rFont val="Tahoma"/>
        <family val="2"/>
      </rPr>
      <t>F(KN)</t>
    </r>
    <phoneticPr fontId="4" type="noConversion"/>
  </si>
  <si>
    <r>
      <rPr>
        <sz val="11"/>
        <color theme="1"/>
        <rFont val="宋体"/>
        <family val="3"/>
        <charset val="134"/>
      </rPr>
      <t>表</t>
    </r>
    <r>
      <rPr>
        <sz val="11"/>
        <color theme="1"/>
        <rFont val="Tahoma"/>
        <family val="2"/>
        <charset val="134"/>
      </rPr>
      <t xml:space="preserve">3 </t>
    </r>
    <r>
      <rPr>
        <sz val="11"/>
        <color theme="1"/>
        <rFont val="宋体"/>
        <family val="3"/>
        <charset val="134"/>
      </rPr>
      <t>许用剪切最小安全系数</t>
    </r>
    <phoneticPr fontId="4" type="noConversion"/>
  </si>
  <si>
    <r>
      <t>安全系数K</t>
    </r>
    <r>
      <rPr>
        <vertAlign val="subscript"/>
        <sz val="14"/>
        <color theme="1"/>
        <rFont val="宋体"/>
        <family val="3"/>
        <charset val="134"/>
      </rPr>
      <t>τ</t>
    </r>
    <phoneticPr fontId="4" type="noConversion"/>
  </si>
  <si>
    <r>
      <rPr>
        <sz val="11"/>
        <color theme="1"/>
        <rFont val="宋体"/>
        <family val="3"/>
        <charset val="134"/>
      </rPr>
      <t>剪切安全系数</t>
    </r>
    <r>
      <rPr>
        <sz val="11"/>
        <color theme="1"/>
        <rFont val="Tahoma"/>
        <family val="2"/>
      </rPr>
      <t>K</t>
    </r>
    <r>
      <rPr>
        <vertAlign val="subscript"/>
        <sz val="14"/>
        <color theme="1"/>
        <rFont val="宋体"/>
        <family val="3"/>
        <charset val="134"/>
        <scheme val="minor"/>
      </rPr>
      <t>τ</t>
    </r>
    <phoneticPr fontId="4" type="noConversion"/>
  </si>
  <si>
    <t>螺栓受剪力示意图</t>
    <phoneticPr fontId="4" type="noConversion"/>
  </si>
  <si>
    <r>
      <rPr>
        <sz val="11"/>
        <color theme="1"/>
        <rFont val="宋体"/>
        <family val="3"/>
        <charset val="134"/>
      </rPr>
      <t>含重力</t>
    </r>
    <r>
      <rPr>
        <sz val="11"/>
        <color theme="1"/>
        <rFont val="Tahoma"/>
        <family val="2"/>
        <charset val="134"/>
      </rPr>
      <t>mg</t>
    </r>
    <r>
      <rPr>
        <sz val="11"/>
        <color theme="1"/>
        <rFont val="宋体"/>
        <family val="3"/>
        <charset val="134"/>
      </rPr>
      <t>等</t>
    </r>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</si>
  <si>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，本文档将许用屈服强度</t>
    </r>
    <r>
      <rPr>
        <sz val="11"/>
        <color theme="1"/>
        <rFont val="Tahoma"/>
        <family val="2"/>
      </rPr>
      <t>σs</t>
    </r>
    <r>
      <rPr>
        <sz val="11"/>
        <color theme="1"/>
        <rFont val="宋体"/>
        <family val="3"/>
        <charset val="134"/>
      </rPr>
      <t>都转换为了许用屈服力</t>
    </r>
    <r>
      <rPr>
        <sz val="11"/>
        <color theme="1"/>
        <rFont val="Tahoma"/>
        <family val="2"/>
      </rPr>
      <t>Fs;</t>
    </r>
    <r>
      <rPr>
        <sz val="11"/>
        <color theme="1"/>
        <rFont val="宋体"/>
        <family val="3"/>
        <charset val="134"/>
      </rPr>
      <t xml:space="preserve">
</t>
    </r>
    <r>
      <rPr>
        <sz val="11"/>
        <color theme="1"/>
        <rFont val="Tahoma"/>
        <family val="2"/>
      </rPr>
      <t xml:space="preserve">    2</t>
    </r>
    <r>
      <rPr>
        <sz val="11"/>
        <color theme="1"/>
        <rFont val="宋体"/>
        <family val="3"/>
        <charset val="134"/>
      </rPr>
      <t>，在表</t>
    </r>
    <r>
      <rPr>
        <sz val="11"/>
        <color theme="1"/>
        <rFont val="Tahoma"/>
        <family val="2"/>
      </rPr>
      <t>1</t>
    </r>
    <r>
      <rPr>
        <sz val="11"/>
        <color theme="1"/>
        <rFont val="宋体"/>
        <family val="3"/>
        <charset val="134"/>
      </rPr>
      <t>中选择螺栓公称直径和强度等级，其余数据将自动计算出，如果许用计算预紧力矩，请在表</t>
    </r>
    <r>
      <rPr>
        <sz val="11"/>
        <color theme="1"/>
        <rFont val="Tahoma"/>
        <family val="2"/>
      </rPr>
      <t>1</t>
    </r>
    <r>
      <rPr>
        <sz val="11"/>
        <color theme="1"/>
        <rFont val="宋体"/>
        <family val="3"/>
        <charset val="134"/>
      </rPr>
      <t>中对照附表填入预紧力矩</t>
    </r>
    <r>
      <rPr>
        <sz val="11"/>
        <color theme="1"/>
        <rFont val="Tahoma"/>
        <family val="2"/>
      </rPr>
      <t>K</t>
    </r>
    <r>
      <rPr>
        <sz val="11"/>
        <color theme="1"/>
        <rFont val="宋体"/>
        <family val="3"/>
        <charset val="134"/>
      </rPr>
      <t xml:space="preserve">值。
</t>
    </r>
    <r>
      <rPr>
        <sz val="11"/>
        <color theme="1"/>
        <rFont val="Tahoma"/>
        <family val="2"/>
      </rPr>
      <t xml:space="preserve">    3</t>
    </r>
    <r>
      <rPr>
        <sz val="11"/>
        <color theme="1"/>
        <rFont val="宋体"/>
        <family val="3"/>
        <charset val="134"/>
      </rPr>
      <t>，通常按计算预紧力矩的</t>
    </r>
    <r>
      <rPr>
        <sz val="11"/>
        <color theme="1"/>
        <rFont val="Tahoma"/>
        <family val="2"/>
      </rPr>
      <t>80%</t>
    </r>
    <r>
      <rPr>
        <sz val="11"/>
        <color theme="1"/>
        <rFont val="宋体"/>
        <family val="3"/>
        <charset val="134"/>
      </rPr>
      <t xml:space="preserve">拧紧螺纹。
</t>
    </r>
    <r>
      <rPr>
        <sz val="11"/>
        <color theme="1"/>
        <rFont val="Tahoma"/>
        <family val="2"/>
      </rPr>
      <t xml:space="preserve">    4</t>
    </r>
    <r>
      <rPr>
        <sz val="11"/>
        <color theme="1"/>
        <rFont val="宋体"/>
        <family val="3"/>
        <charset val="134"/>
      </rPr>
      <t>，表</t>
    </r>
    <r>
      <rPr>
        <sz val="11"/>
        <color theme="1"/>
        <rFont val="Tahoma"/>
        <family val="2"/>
      </rPr>
      <t>2,</t>
    </r>
    <r>
      <rPr>
        <sz val="11"/>
        <color theme="1"/>
        <rFont val="宋体"/>
        <family val="3"/>
        <charset val="134"/>
      </rPr>
      <t>表</t>
    </r>
    <r>
      <rPr>
        <sz val="11"/>
        <color theme="1"/>
        <rFont val="Tahoma"/>
        <family val="2"/>
      </rPr>
      <t>3</t>
    </r>
    <r>
      <rPr>
        <sz val="11"/>
        <color theme="1"/>
        <rFont val="宋体"/>
        <family val="3"/>
        <charset val="134"/>
      </rPr>
      <t>给出的</t>
    </r>
    <r>
      <rPr>
        <sz val="11"/>
        <color theme="1"/>
        <rFont val="Tahoma"/>
        <family val="2"/>
      </rPr>
      <t>K</t>
    </r>
    <r>
      <rPr>
        <sz val="11"/>
        <color theme="1"/>
        <rFont val="宋体"/>
        <family val="3"/>
        <charset val="134"/>
      </rPr>
      <t>值为最低数值，可适当放大</t>
    </r>
    <r>
      <rPr>
        <sz val="11"/>
        <color theme="1"/>
        <rFont val="Tahoma"/>
        <family val="2"/>
      </rPr>
      <t>K</t>
    </r>
    <r>
      <rPr>
        <sz val="11"/>
        <color theme="1"/>
        <rFont val="宋体"/>
        <family val="3"/>
        <charset val="134"/>
      </rPr>
      <t>值。</t>
    </r>
    <phoneticPr fontId="4" type="noConversion"/>
  </si>
  <si>
    <t>圆柱扭转弹簧计算校核</t>
    <phoneticPr fontId="4" type="noConversion"/>
  </si>
  <si>
    <r>
      <rPr>
        <sz val="11"/>
        <color theme="1"/>
        <rFont val="宋体"/>
        <family val="3"/>
        <charset val="134"/>
      </rPr>
      <t>曲度系数</t>
    </r>
    <r>
      <rPr>
        <sz val="11"/>
        <color theme="1"/>
        <rFont val="Tahoma"/>
        <family val="2"/>
      </rPr>
      <t>k1</t>
    </r>
    <phoneticPr fontId="4" type="noConversion"/>
  </si>
  <si>
    <r>
      <rPr>
        <sz val="11"/>
        <color theme="1"/>
        <rFont val="宋体"/>
        <family val="3"/>
        <charset val="134"/>
      </rPr>
      <t>抗弯截面系数</t>
    </r>
    <r>
      <rPr>
        <sz val="11"/>
        <color theme="1"/>
        <rFont val="Tahoma"/>
        <family val="2"/>
      </rPr>
      <t>W(mm³)</t>
    </r>
    <phoneticPr fontId="4" type="noConversion"/>
  </si>
  <si>
    <t>I类弹簧</t>
    <phoneticPr fontId="4" type="noConversion"/>
  </si>
  <si>
    <t>材料</t>
    <phoneticPr fontId="4" type="noConversion"/>
  </si>
  <si>
    <t>类型</t>
    <phoneticPr fontId="4" type="noConversion"/>
  </si>
  <si>
    <r>
      <rPr>
        <sz val="11"/>
        <color theme="1"/>
        <rFont val="宋体"/>
        <family val="3"/>
        <charset val="134"/>
      </rPr>
      <t>铬锰钢</t>
    </r>
    <r>
      <rPr>
        <sz val="11"/>
        <color theme="1"/>
        <rFont val="Tahoma"/>
        <family val="2"/>
        <charset val="134"/>
      </rPr>
      <t>55CrMnA
60CrMnA</t>
    </r>
    <phoneticPr fontId="4" type="noConversion"/>
  </si>
  <si>
    <r>
      <rPr>
        <sz val="10.5"/>
        <color theme="1"/>
        <rFont val="宋体"/>
        <family val="3"/>
        <charset val="134"/>
      </rPr>
      <t>硅锰</t>
    </r>
    <r>
      <rPr>
        <sz val="10.5"/>
        <color theme="1"/>
        <rFont val="Tahoma"/>
        <family val="2"/>
        <charset val="134"/>
      </rPr>
      <t>,</t>
    </r>
    <r>
      <rPr>
        <sz val="10.5"/>
        <color theme="1"/>
        <rFont val="宋体"/>
        <family val="3"/>
        <charset val="134"/>
      </rPr>
      <t>铬钒</t>
    </r>
    <r>
      <rPr>
        <sz val="10"/>
        <color theme="1"/>
        <rFont val="Tahoma"/>
        <family val="2"/>
        <charset val="134"/>
      </rPr>
      <t>55Si2Mn(B
60Si2Mn(A
50CrVA</t>
    </r>
    <phoneticPr fontId="4" type="noConversion"/>
  </si>
  <si>
    <r>
      <rPr>
        <sz val="11"/>
        <color theme="1"/>
        <rFont val="宋体"/>
        <family val="3"/>
        <charset val="134"/>
      </rPr>
      <t>附表</t>
    </r>
    <r>
      <rPr>
        <sz val="11"/>
        <color theme="1"/>
        <rFont val="Tahoma"/>
        <family val="2"/>
        <charset val="134"/>
      </rPr>
      <t xml:space="preserve"> </t>
    </r>
    <r>
      <rPr>
        <sz val="11"/>
        <color theme="1"/>
        <rFont val="宋体"/>
        <family val="3"/>
        <charset val="134"/>
      </rPr>
      <t>弹簧钢抗拉强度极限</t>
    </r>
    <r>
      <rPr>
        <sz val="11"/>
        <color theme="1"/>
        <rFont val="Tahoma"/>
        <family val="2"/>
        <charset val="134"/>
      </rPr>
      <t>(</t>
    </r>
    <r>
      <rPr>
        <sz val="11"/>
        <color theme="1"/>
        <rFont val="宋体"/>
        <family val="3"/>
        <charset val="134"/>
      </rPr>
      <t>应力级别：</t>
    </r>
    <r>
      <rPr>
        <sz val="11"/>
        <color theme="1"/>
        <rFont val="Tahoma"/>
        <family val="2"/>
        <charset val="134"/>
      </rPr>
      <t>B</t>
    </r>
    <r>
      <rPr>
        <sz val="11"/>
        <color theme="1"/>
        <rFont val="宋体"/>
        <family val="3"/>
        <charset val="134"/>
      </rPr>
      <t>低应力弹簧，</t>
    </r>
    <r>
      <rPr>
        <sz val="11"/>
        <color theme="1"/>
        <rFont val="Tahoma"/>
        <family val="2"/>
        <charset val="134"/>
      </rPr>
      <t>C</t>
    </r>
    <r>
      <rPr>
        <sz val="11"/>
        <color theme="1"/>
        <rFont val="宋体"/>
        <family val="3"/>
        <charset val="134"/>
      </rPr>
      <t>中应力弹簧，</t>
    </r>
    <r>
      <rPr>
        <sz val="11"/>
        <color theme="1"/>
        <rFont val="Tahoma"/>
        <family val="2"/>
        <charset val="134"/>
      </rPr>
      <t>D</t>
    </r>
    <r>
      <rPr>
        <sz val="11"/>
        <color theme="1"/>
        <rFont val="宋体"/>
        <family val="3"/>
        <charset val="134"/>
      </rPr>
      <t>高应力弹簧</t>
    </r>
    <r>
      <rPr>
        <sz val="11"/>
        <color theme="1"/>
        <rFont val="Tahoma"/>
        <family val="2"/>
        <charset val="134"/>
      </rPr>
      <t>)</t>
    </r>
    <phoneticPr fontId="4" type="noConversion"/>
  </si>
  <si>
    <r>
      <rPr>
        <b/>
        <sz val="11"/>
        <color theme="1"/>
        <rFont val="宋体"/>
        <family val="3"/>
        <charset val="134"/>
      </rPr>
      <t>扭转弹簧</t>
    </r>
    <r>
      <rPr>
        <sz val="11"/>
        <color theme="1"/>
        <rFont val="宋体"/>
        <family val="3"/>
        <charset val="134"/>
      </rPr>
      <t>许用弯应</t>
    </r>
    <r>
      <rPr>
        <sz val="11"/>
        <color theme="1"/>
        <rFont val="Tahoma"/>
        <family val="2"/>
        <charset val="134"/>
      </rPr>
      <t>[σp](MPa)</t>
    </r>
    <phoneticPr fontId="4" type="noConversion"/>
  </si>
  <si>
    <r>
      <rPr>
        <b/>
        <sz val="11"/>
        <color theme="1"/>
        <rFont val="宋体"/>
        <family val="3"/>
        <charset val="134"/>
      </rPr>
      <t>压缩弹簧</t>
    </r>
    <r>
      <rPr>
        <sz val="11"/>
        <color theme="1"/>
        <rFont val="宋体"/>
        <family val="3"/>
        <charset val="134"/>
      </rPr>
      <t>许用切应</t>
    </r>
    <r>
      <rPr>
        <sz val="11"/>
        <color theme="1"/>
        <rFont val="Tahoma"/>
        <family val="2"/>
        <charset val="134"/>
      </rPr>
      <t>[</t>
    </r>
    <r>
      <rPr>
        <sz val="11"/>
        <color theme="1"/>
        <rFont val="宋体"/>
        <family val="3"/>
        <charset val="134"/>
        <scheme val="minor"/>
      </rPr>
      <t>τ</t>
    </r>
    <r>
      <rPr>
        <sz val="11"/>
        <color theme="1"/>
        <rFont val="Tahoma"/>
        <family val="2"/>
        <charset val="134"/>
      </rPr>
      <t>](MPa)</t>
    </r>
    <phoneticPr fontId="4" type="noConversion"/>
  </si>
  <si>
    <r>
      <rPr>
        <sz val="11"/>
        <color theme="1"/>
        <rFont val="宋体"/>
        <family val="3"/>
        <charset val="134"/>
      </rPr>
      <t>许用弯曲应力</t>
    </r>
    <r>
      <rPr>
        <sz val="11"/>
        <color theme="1"/>
        <rFont val="Tahoma"/>
        <family val="2"/>
      </rPr>
      <t>[σp](Mpa)</t>
    </r>
    <phoneticPr fontId="4" type="noConversion"/>
  </si>
  <si>
    <r>
      <rPr>
        <sz val="11"/>
        <color theme="1"/>
        <rFont val="宋体"/>
        <family val="3"/>
        <charset val="134"/>
      </rPr>
      <t>最大许用扭矩</t>
    </r>
    <r>
      <rPr>
        <sz val="11"/>
        <color theme="1"/>
        <rFont val="Tahoma"/>
        <family val="2"/>
      </rPr>
      <t>[T](N.m)</t>
    </r>
    <phoneticPr fontId="4" type="noConversion"/>
  </si>
  <si>
    <r>
      <rPr>
        <sz val="11"/>
        <color theme="1"/>
        <rFont val="宋体"/>
        <family val="3"/>
        <charset val="134"/>
      </rPr>
      <t>实际负载力矩</t>
    </r>
    <r>
      <rPr>
        <sz val="11"/>
        <color theme="1"/>
        <rFont val="Tahoma"/>
        <family val="2"/>
      </rPr>
      <t>T(N.m)</t>
    </r>
    <phoneticPr fontId="4" type="noConversion"/>
  </si>
  <si>
    <r>
      <rPr>
        <sz val="11"/>
        <color theme="1"/>
        <rFont val="宋体"/>
        <family val="3"/>
        <charset val="134"/>
      </rPr>
      <t>工作扭转角</t>
    </r>
    <r>
      <rPr>
        <sz val="11"/>
        <color theme="1"/>
        <rFont val="Tahoma"/>
        <family val="2"/>
      </rPr>
      <t>φ(</t>
    </r>
    <r>
      <rPr>
        <sz val="11"/>
        <color theme="1"/>
        <rFont val="宋体"/>
        <family val="3"/>
        <charset val="134"/>
      </rPr>
      <t>度</t>
    </r>
    <r>
      <rPr>
        <sz val="11"/>
        <color theme="1"/>
        <rFont val="Tahoma"/>
        <family val="2"/>
      </rPr>
      <t>)</t>
    </r>
    <phoneticPr fontId="4" type="noConversion"/>
  </si>
  <si>
    <r>
      <rPr>
        <sz val="11"/>
        <color theme="1"/>
        <rFont val="宋体"/>
        <family val="3"/>
        <charset val="134"/>
      </rPr>
      <t>弹簧刚度</t>
    </r>
    <r>
      <rPr>
        <sz val="11"/>
        <color theme="1"/>
        <rFont val="Tahoma"/>
        <family val="2"/>
      </rPr>
      <t>Kt(N.mm/</t>
    </r>
    <r>
      <rPr>
        <sz val="11"/>
        <color theme="1"/>
        <rFont val="宋体"/>
        <family val="3"/>
        <charset val="134"/>
      </rPr>
      <t>度</t>
    </r>
    <r>
      <rPr>
        <sz val="11"/>
        <color theme="1"/>
        <rFont val="Tahoma"/>
        <family val="2"/>
      </rPr>
      <t>)</t>
    </r>
    <phoneticPr fontId="4" type="noConversion"/>
  </si>
  <si>
    <r>
      <rPr>
        <sz val="11"/>
        <color theme="1"/>
        <rFont val="宋体"/>
        <family val="3"/>
        <charset val="134"/>
      </rPr>
      <t>材料弹性模量</t>
    </r>
    <r>
      <rPr>
        <sz val="11"/>
        <color theme="1"/>
        <rFont val="Tahoma"/>
        <family val="2"/>
      </rPr>
      <t>E(GPa)</t>
    </r>
    <phoneticPr fontId="4" type="noConversion"/>
  </si>
  <si>
    <r>
      <t>惯性矩I(mm</t>
    </r>
    <r>
      <rPr>
        <vertAlign val="superscript"/>
        <sz val="12"/>
        <color theme="1"/>
        <rFont val="宋体"/>
        <family val="3"/>
        <charset val="134"/>
      </rPr>
      <t>4</t>
    </r>
    <r>
      <rPr>
        <sz val="11"/>
        <color theme="1"/>
        <rFont val="宋体"/>
        <family val="3"/>
        <charset val="134"/>
      </rPr>
      <t>)</t>
    </r>
    <phoneticPr fontId="4" type="noConversion"/>
  </si>
  <si>
    <r>
      <t>I=</t>
    </r>
    <r>
      <rPr>
        <sz val="11"/>
        <rFont val="宋体"/>
        <family val="3"/>
        <charset val="134"/>
        <scheme val="minor"/>
      </rPr>
      <t>π</t>
    </r>
    <r>
      <rPr>
        <sz val="11"/>
        <rFont val="Tahoma"/>
        <family val="2"/>
      </rPr>
      <t>d</t>
    </r>
    <r>
      <rPr>
        <vertAlign val="superscript"/>
        <sz val="12"/>
        <rFont val="Tahoma"/>
        <family val="2"/>
      </rPr>
      <t>4</t>
    </r>
    <r>
      <rPr>
        <sz val="11"/>
        <rFont val="Tahoma"/>
        <family val="2"/>
      </rPr>
      <t>/64</t>
    </r>
    <phoneticPr fontId="4" type="noConversion"/>
  </si>
  <si>
    <t xml:space="preserve">d&gt;4     206
0.5&lt;=d&lt;=4  
207.5~205 </t>
    <phoneticPr fontId="4" type="noConversion"/>
  </si>
  <si>
    <t>I</t>
  </si>
  <si>
    <t>圆柱压缩/拉伸弹簧计算校核</t>
    <phoneticPr fontId="4" type="noConversion"/>
  </si>
  <si>
    <r>
      <rPr>
        <b/>
        <sz val="11"/>
        <color theme="1"/>
        <rFont val="宋体"/>
        <family val="3"/>
        <charset val="134"/>
      </rPr>
      <t>压缩弹簧</t>
    </r>
    <r>
      <rPr>
        <sz val="11"/>
        <color theme="1"/>
        <rFont val="宋体"/>
        <family val="3"/>
        <charset val="134"/>
      </rPr>
      <t>许用切应</t>
    </r>
    <r>
      <rPr>
        <sz val="11"/>
        <color theme="1"/>
        <rFont val="Tahoma"/>
        <family val="2"/>
      </rPr>
      <t>[τ](Mpa)</t>
    </r>
    <phoneticPr fontId="4" type="noConversion"/>
  </si>
  <si>
    <r>
      <rPr>
        <b/>
        <sz val="11"/>
        <color theme="1"/>
        <rFont val="宋体"/>
        <family val="3"/>
        <charset val="134"/>
      </rPr>
      <t>拉伸弹簧</t>
    </r>
    <r>
      <rPr>
        <sz val="11"/>
        <color theme="1"/>
        <rFont val="宋体"/>
        <family val="3"/>
        <charset val="134"/>
      </rPr>
      <t>许用切应</t>
    </r>
    <r>
      <rPr>
        <sz val="11"/>
        <color theme="1"/>
        <rFont val="Tahoma"/>
        <family val="2"/>
      </rPr>
      <t>[τ](Mpa)</t>
    </r>
    <phoneticPr fontId="4" type="noConversion"/>
  </si>
  <si>
    <r>
      <rPr>
        <b/>
        <sz val="11"/>
        <color theme="1"/>
        <rFont val="宋体"/>
        <family val="3"/>
        <charset val="134"/>
      </rPr>
      <t>扭转弹簧</t>
    </r>
    <r>
      <rPr>
        <sz val="11"/>
        <color theme="1"/>
        <rFont val="宋体"/>
        <family val="3"/>
        <charset val="134"/>
      </rPr>
      <t>许用弯应</t>
    </r>
    <r>
      <rPr>
        <sz val="11"/>
        <color theme="1"/>
        <rFont val="Tahoma"/>
        <family val="2"/>
      </rPr>
      <t>[σp](Mpa</t>
    </r>
    <phoneticPr fontId="4" type="noConversion"/>
  </si>
  <si>
    <t>弹簧校核计算合集</t>
    <phoneticPr fontId="4" type="noConversion"/>
  </si>
  <si>
    <t xml:space="preserve">文档信息
编写：图惜
参考：《机械设计——第八版》——蒲良贵、纪名刚
      《机械设计手册——第五版第三卷》—成大先
      《常用螺栓强度-屈服极限-预紧力预紧扭矩》—宣言
                                          2018.9.15   
</t>
    <phoneticPr fontId="4" type="noConversion"/>
  </si>
  <si>
    <r>
      <rPr>
        <b/>
        <sz val="11"/>
        <color rgb="FFFF0000"/>
        <rFont val="宋体"/>
        <family val="3"/>
        <charset val="134"/>
      </rPr>
      <t>表</t>
    </r>
    <r>
      <rPr>
        <b/>
        <sz val="11"/>
        <color rgb="FFFF0000"/>
        <rFont val="Tahoma"/>
        <family val="2"/>
      </rPr>
      <t>1</t>
    </r>
    <r>
      <rPr>
        <b/>
        <sz val="11"/>
        <color rgb="FFFF0000"/>
        <rFont val="宋体"/>
        <family val="3"/>
        <charset val="134"/>
      </rPr>
      <t>对应项目选择下拉菜单</t>
    </r>
    <phoneticPr fontId="4" type="noConversion"/>
  </si>
  <si>
    <t>材料</t>
    <phoneticPr fontId="4" type="noConversion"/>
  </si>
  <si>
    <r>
      <rPr>
        <sz val="11"/>
        <color theme="1"/>
        <rFont val="宋体"/>
        <family val="3"/>
        <charset val="134"/>
      </rPr>
      <t>表</t>
    </r>
    <r>
      <rPr>
        <sz val="11"/>
        <color theme="1"/>
        <rFont val="Tahoma"/>
        <family val="2"/>
        <charset val="134"/>
      </rPr>
      <t xml:space="preserve">3  </t>
    </r>
    <r>
      <rPr>
        <sz val="11"/>
        <color theme="1"/>
        <rFont val="宋体"/>
        <family val="3"/>
        <charset val="134"/>
      </rPr>
      <t>碳素弹簧钢与琴钢丝</t>
    </r>
    <r>
      <rPr>
        <sz val="11"/>
        <color theme="1"/>
        <rFont val="Tahoma"/>
        <family val="2"/>
        <charset val="134"/>
      </rPr>
      <t>,</t>
    </r>
    <r>
      <rPr>
        <sz val="11"/>
        <color theme="1"/>
        <rFont val="宋体"/>
        <family val="3"/>
        <charset val="134"/>
      </rPr>
      <t>不锈钢丝许用切应力</t>
    </r>
    <r>
      <rPr>
        <sz val="11"/>
        <color theme="1"/>
        <rFont val="Tahoma"/>
        <family val="2"/>
        <charset val="134"/>
      </rPr>
      <t/>
    </r>
    <phoneticPr fontId="4" type="noConversion"/>
  </si>
  <si>
    <r>
      <rPr>
        <b/>
        <sz val="11"/>
        <color rgb="FFFF0000"/>
        <rFont val="宋体"/>
        <family val="3"/>
        <charset val="134"/>
      </rPr>
      <t>载荷性质：</t>
    </r>
    <r>
      <rPr>
        <sz val="11"/>
        <color theme="1"/>
        <rFont val="宋体"/>
        <family val="3"/>
        <charset val="134"/>
      </rPr>
      <t xml:space="preserve">
</t>
    </r>
    <r>
      <rPr>
        <b/>
        <sz val="11"/>
        <color theme="1"/>
        <rFont val="Tahoma"/>
        <family val="2"/>
        <charset val="134"/>
      </rPr>
      <t>I=</t>
    </r>
    <r>
      <rPr>
        <b/>
        <sz val="11"/>
        <color theme="1"/>
        <rFont val="宋体"/>
        <family val="3"/>
        <charset val="134"/>
      </rPr>
      <t>无限疲劳寿命</t>
    </r>
    <r>
      <rPr>
        <sz val="11"/>
        <color theme="1"/>
        <rFont val="宋体"/>
        <family val="3"/>
        <charset val="134"/>
      </rPr>
      <t>，交变载荷次数</t>
    </r>
    <r>
      <rPr>
        <sz val="11"/>
        <color theme="1"/>
        <rFont val="Tahoma"/>
        <family val="2"/>
        <charset val="134"/>
      </rPr>
      <t>&gt;10</t>
    </r>
    <r>
      <rPr>
        <vertAlign val="superscript"/>
        <sz val="12"/>
        <color theme="1"/>
        <rFont val="Tahoma"/>
        <family val="2"/>
      </rPr>
      <t>6</t>
    </r>
    <r>
      <rPr>
        <sz val="11"/>
        <color theme="1"/>
        <rFont val="宋体"/>
        <family val="3"/>
        <charset val="134"/>
      </rPr>
      <t xml:space="preserve">，如内燃机气门弹簧、电磁制动器弹簧；
</t>
    </r>
    <r>
      <rPr>
        <b/>
        <sz val="11"/>
        <color theme="1"/>
        <rFont val="Tahoma"/>
        <family val="2"/>
        <charset val="134"/>
      </rPr>
      <t>II=</t>
    </r>
    <r>
      <rPr>
        <b/>
        <sz val="11"/>
        <color theme="1"/>
        <rFont val="宋体"/>
        <family val="3"/>
        <charset val="134"/>
      </rPr>
      <t>有限疲劳寿命</t>
    </r>
    <r>
      <rPr>
        <sz val="11"/>
        <color theme="1"/>
        <rFont val="宋体"/>
        <family val="3"/>
        <charset val="134"/>
      </rPr>
      <t>，交变载荷次数</t>
    </r>
    <r>
      <rPr>
        <sz val="11"/>
        <color theme="1"/>
        <rFont val="Tahoma"/>
        <family val="2"/>
        <charset val="134"/>
      </rPr>
      <t>10</t>
    </r>
    <r>
      <rPr>
        <vertAlign val="superscript"/>
        <sz val="12"/>
        <color theme="1"/>
        <rFont val="Tahoma"/>
        <family val="2"/>
      </rPr>
      <t>3</t>
    </r>
    <r>
      <rPr>
        <sz val="11"/>
        <color theme="1"/>
        <rFont val="Tahoma"/>
        <family val="2"/>
        <charset val="134"/>
      </rPr>
      <t>~10</t>
    </r>
    <r>
      <rPr>
        <vertAlign val="superscript"/>
        <sz val="12"/>
        <color theme="1"/>
        <rFont val="Tahoma"/>
        <family val="2"/>
      </rPr>
      <t>5</t>
    </r>
    <r>
      <rPr>
        <sz val="11"/>
        <color theme="1"/>
        <rFont val="Tahoma"/>
        <family val="2"/>
      </rPr>
      <t>,</t>
    </r>
    <r>
      <rPr>
        <sz val="11"/>
        <color theme="1"/>
        <rFont val="宋体"/>
        <family val="3"/>
        <charset val="134"/>
      </rPr>
      <t xml:space="preserve">如一般车辆弹簧
</t>
    </r>
    <r>
      <rPr>
        <b/>
        <sz val="11"/>
        <color theme="1"/>
        <rFont val="Tahoma"/>
        <family val="2"/>
        <charset val="134"/>
      </rPr>
      <t>III=</t>
    </r>
    <r>
      <rPr>
        <b/>
        <sz val="11"/>
        <color theme="1"/>
        <rFont val="宋体"/>
        <family val="3"/>
        <charset val="134"/>
      </rPr>
      <t>静载荷</t>
    </r>
    <r>
      <rPr>
        <sz val="11"/>
        <color theme="1"/>
        <rFont val="宋体"/>
        <family val="3"/>
        <charset val="134"/>
      </rPr>
      <t>，交变载荷次数</t>
    </r>
    <r>
      <rPr>
        <sz val="11"/>
        <color theme="1"/>
        <rFont val="Tahoma"/>
        <family val="2"/>
        <charset val="134"/>
      </rPr>
      <t>&lt;10</t>
    </r>
    <r>
      <rPr>
        <vertAlign val="superscript"/>
        <sz val="12"/>
        <color theme="1"/>
        <rFont val="Tahoma"/>
        <family val="2"/>
      </rPr>
      <t>3</t>
    </r>
    <r>
      <rPr>
        <sz val="11"/>
        <color theme="1"/>
        <rFont val="宋体"/>
        <family val="3"/>
        <charset val="134"/>
      </rPr>
      <t>，如安全阀弹簧</t>
    </r>
    <phoneticPr fontId="4" type="noConversion"/>
  </si>
  <si>
    <t xml:space="preserve">文档信息
编写：图惜
参考：《机械设计——第八版》——蒲良贵、纪名刚
      《机械设计手册——第五版第三卷》——成大先
      《英科宇机械工程师设计手册电子版》                     2018.9.17                                    
</t>
    <phoneticPr fontId="4" type="noConversion"/>
  </si>
  <si>
    <r>
      <rPr>
        <sz val="11"/>
        <color theme="1"/>
        <rFont val="宋体"/>
        <family val="3"/>
        <charset val="134"/>
      </rPr>
      <t>表4</t>
    </r>
    <r>
      <rPr>
        <sz val="11"/>
        <color theme="1"/>
        <rFont val="Tahoma"/>
        <family val="2"/>
        <charset val="134"/>
      </rPr>
      <t xml:space="preserve">  </t>
    </r>
    <r>
      <rPr>
        <sz val="11"/>
        <color theme="1"/>
        <rFont val="宋体"/>
        <family val="3"/>
        <charset val="134"/>
      </rPr>
      <t>合金弹簧钢许用应力</t>
    </r>
    <phoneticPr fontId="4" type="noConversion"/>
  </si>
  <si>
    <r>
      <rPr>
        <sz val="11"/>
        <rFont val="宋体"/>
        <family val="3"/>
        <charset val="134"/>
      </rPr>
      <t>表</t>
    </r>
    <r>
      <rPr>
        <sz val="11"/>
        <rFont val="Tahoma"/>
        <family val="2"/>
      </rPr>
      <t>3\4</t>
    </r>
    <phoneticPr fontId="4" type="noConversion"/>
  </si>
  <si>
    <r>
      <rPr>
        <sz val="11"/>
        <color theme="1"/>
        <rFont val="宋体"/>
        <family val="3"/>
        <charset val="134"/>
      </rPr>
      <t>表</t>
    </r>
    <r>
      <rPr>
        <sz val="11"/>
        <color theme="1"/>
        <rFont val="Tahoma"/>
        <family val="2"/>
      </rPr>
      <t>3\4</t>
    </r>
    <phoneticPr fontId="4" type="noConversion"/>
  </si>
  <si>
    <t>不锈钢丝</t>
  </si>
  <si>
    <r>
      <rPr>
        <sz val="11"/>
        <color theme="1"/>
        <rFont val="宋体"/>
        <family val="3"/>
        <charset val="134"/>
      </rPr>
      <t>说明：</t>
    </r>
    <r>
      <rPr>
        <sz val="11"/>
        <color theme="1"/>
        <rFont val="Tahoma"/>
        <family val="2"/>
      </rPr>
      <t xml:space="preserve"> 
    1</t>
    </r>
    <r>
      <rPr>
        <sz val="11"/>
        <color theme="1"/>
        <rFont val="宋体"/>
        <family val="3"/>
        <charset val="134"/>
      </rPr>
      <t>，本文</t>
    </r>
    <r>
      <rPr>
        <sz val="11"/>
        <color theme="1"/>
        <rFont val="Tahoma"/>
        <family val="2"/>
      </rPr>
      <t>D</t>
    </r>
    <r>
      <rPr>
        <sz val="11"/>
        <color theme="1"/>
        <rFont val="宋体"/>
        <family val="3"/>
        <charset val="134"/>
      </rPr>
      <t>表示弹簧中径，</t>
    </r>
    <r>
      <rPr>
        <sz val="11"/>
        <color theme="1"/>
        <rFont val="Tahoma"/>
        <family val="2"/>
      </rPr>
      <t>d</t>
    </r>
    <r>
      <rPr>
        <sz val="11"/>
        <color theme="1"/>
        <rFont val="宋体"/>
        <family val="3"/>
        <charset val="134"/>
      </rPr>
      <t>表示弹簧线径，</t>
    </r>
    <r>
      <rPr>
        <sz val="11"/>
        <color theme="1"/>
        <rFont val="Tahoma"/>
        <family val="2"/>
      </rPr>
      <t>H0</t>
    </r>
    <r>
      <rPr>
        <sz val="11"/>
        <color theme="1"/>
        <rFont val="宋体"/>
        <family val="3"/>
        <charset val="134"/>
      </rPr>
      <t xml:space="preserve">表示自由长度，如附图
</t>
    </r>
    <r>
      <rPr>
        <sz val="11"/>
        <color theme="1"/>
        <rFont val="Tahoma"/>
        <family val="2"/>
      </rPr>
      <t xml:space="preserve">    2</t>
    </r>
    <r>
      <rPr>
        <sz val="11"/>
        <color theme="1"/>
        <rFont val="宋体"/>
        <family val="3"/>
        <charset val="134"/>
      </rPr>
      <t>，弹性刚度</t>
    </r>
    <r>
      <rPr>
        <sz val="11"/>
        <color theme="1"/>
        <rFont val="Tahoma"/>
        <family val="2"/>
      </rPr>
      <t>K</t>
    </r>
    <r>
      <rPr>
        <sz val="11"/>
        <color theme="1"/>
        <rFont val="宋体"/>
        <family val="3"/>
        <charset val="134"/>
      </rPr>
      <t>即弹性常数，满足胡克定律：
拉压弹簧力与长度变形关系</t>
    </r>
    <r>
      <rPr>
        <sz val="11"/>
        <color theme="1"/>
        <rFont val="Tahoma"/>
        <family val="2"/>
      </rPr>
      <t>F=K×</t>
    </r>
    <r>
      <rPr>
        <sz val="11"/>
        <color theme="1"/>
        <rFont val="宋体"/>
        <family val="3"/>
        <charset val="134"/>
      </rPr>
      <t>△</t>
    </r>
    <r>
      <rPr>
        <sz val="11"/>
        <color theme="1"/>
        <rFont val="Tahoma"/>
        <family val="2"/>
      </rPr>
      <t>L</t>
    </r>
    <r>
      <rPr>
        <sz val="11"/>
        <color theme="1"/>
        <rFont val="宋体"/>
        <family val="3"/>
        <charset val="134"/>
      </rPr>
      <t>，
扭转弹簧扭矩</t>
    </r>
    <r>
      <rPr>
        <sz val="11"/>
        <color theme="1"/>
        <rFont val="Tahoma"/>
        <family val="2"/>
      </rPr>
      <t>(</t>
    </r>
    <r>
      <rPr>
        <sz val="11"/>
        <color theme="1"/>
        <rFont val="宋体"/>
        <family val="3"/>
        <charset val="134"/>
      </rPr>
      <t>力矩</t>
    </r>
    <r>
      <rPr>
        <sz val="11"/>
        <color theme="1"/>
        <rFont val="Tahoma"/>
        <family val="2"/>
      </rPr>
      <t>)</t>
    </r>
    <r>
      <rPr>
        <sz val="11"/>
        <color theme="1"/>
        <rFont val="宋体"/>
        <family val="3"/>
        <charset val="134"/>
      </rPr>
      <t>与转动角度关系</t>
    </r>
    <r>
      <rPr>
        <sz val="11"/>
        <color theme="1"/>
        <rFont val="Tahoma"/>
        <family val="2"/>
      </rPr>
      <t>T=Kt×</t>
    </r>
    <r>
      <rPr>
        <sz val="11"/>
        <color theme="1"/>
        <rFont val="宋体"/>
        <family val="3"/>
        <charset val="134"/>
      </rPr>
      <t>△</t>
    </r>
    <r>
      <rPr>
        <sz val="11"/>
        <color theme="1"/>
        <rFont val="Tahoma"/>
        <family val="2"/>
      </rPr>
      <t>φ
    3</t>
    </r>
    <r>
      <rPr>
        <sz val="11"/>
        <color theme="1"/>
        <rFont val="宋体"/>
        <family val="3"/>
        <charset val="134"/>
      </rPr>
      <t>，如果是碳钢或不锈钢弹簧，在表</t>
    </r>
    <r>
      <rPr>
        <sz val="11"/>
        <color theme="1"/>
        <rFont val="Tahoma"/>
        <family val="2"/>
      </rPr>
      <t>3</t>
    </r>
    <r>
      <rPr>
        <sz val="11"/>
        <color theme="1"/>
        <rFont val="宋体"/>
        <family val="3"/>
        <charset val="134"/>
      </rPr>
      <t>中选择材料和载荷性质、输入弹簧线径和抗拉强度</t>
    </r>
    <r>
      <rPr>
        <sz val="11"/>
        <color theme="1"/>
        <rFont val="Tahoma"/>
        <family val="2"/>
      </rPr>
      <t>(</t>
    </r>
    <r>
      <rPr>
        <sz val="11"/>
        <color theme="1"/>
        <rFont val="宋体"/>
        <family val="3"/>
        <charset val="134"/>
      </rPr>
      <t>附表查询</t>
    </r>
    <r>
      <rPr>
        <sz val="11"/>
        <color theme="1"/>
        <rFont val="Tahoma"/>
        <family val="2"/>
      </rPr>
      <t>)</t>
    </r>
    <r>
      <rPr>
        <sz val="11"/>
        <color theme="1"/>
        <rFont val="宋体"/>
        <family val="3"/>
        <charset val="134"/>
      </rPr>
      <t>，即可在下方自动计算出许用应力值，如果是合金钢弹簧，直接在表</t>
    </r>
    <r>
      <rPr>
        <sz val="11"/>
        <color theme="1"/>
        <rFont val="Tahoma"/>
        <family val="2"/>
      </rPr>
      <t>4</t>
    </r>
    <r>
      <rPr>
        <sz val="11"/>
        <color theme="1"/>
        <rFont val="宋体"/>
        <family val="3"/>
        <charset val="134"/>
      </rPr>
      <t xml:space="preserve">中查询许用应力值，再将此值带回主表“强度计算”中计算校核
</t>
    </r>
    <r>
      <rPr>
        <sz val="11"/>
        <color theme="1"/>
        <rFont val="Tahoma"/>
        <family val="2"/>
      </rPr>
      <t xml:space="preserve">   </t>
    </r>
    <phoneticPr fontId="4" type="noConversion"/>
  </si>
  <si>
    <t>径向载荷Fr(N)</t>
    <phoneticPr fontId="4" type="noConversion"/>
  </si>
  <si>
    <t>轴向载荷Fa(N)</t>
    <phoneticPr fontId="4" type="noConversion"/>
  </si>
  <si>
    <t>转速n(r/min)</t>
    <phoneticPr fontId="4" type="noConversion"/>
  </si>
  <si>
    <t>预期计算寿命Lh(h)</t>
    <phoneticPr fontId="4" type="noConversion"/>
  </si>
  <si>
    <r>
      <t>表</t>
    </r>
    <r>
      <rPr>
        <sz val="11"/>
        <color theme="1"/>
        <rFont val="Tahoma"/>
        <family val="2"/>
        <charset val="134"/>
      </rPr>
      <t xml:space="preserve">1  </t>
    </r>
    <r>
      <rPr>
        <sz val="11"/>
        <color theme="1"/>
        <rFont val="宋体"/>
        <family val="3"/>
        <charset val="134"/>
      </rPr>
      <t>轴承预期计算寿命</t>
    </r>
    <r>
      <rPr>
        <sz val="11"/>
        <color theme="1"/>
        <rFont val="Tahoma"/>
        <family val="2"/>
        <charset val="134"/>
      </rPr>
      <t>Lh</t>
    </r>
    <r>
      <rPr>
        <sz val="11"/>
        <color theme="1"/>
        <rFont val="宋体"/>
        <family val="3"/>
        <charset val="134"/>
      </rPr>
      <t>推荐值</t>
    </r>
    <r>
      <rPr>
        <sz val="11"/>
        <color theme="1"/>
        <rFont val="Tahoma"/>
        <family val="2"/>
        <charset val="134"/>
      </rPr>
      <t>(h)</t>
    </r>
    <phoneticPr fontId="4" type="noConversion"/>
  </si>
  <si>
    <t>使用条件</t>
    <phoneticPr fontId="4" type="noConversion"/>
  </si>
  <si>
    <t>不经常使用的仪器和设备</t>
    <phoneticPr fontId="4" type="noConversion"/>
  </si>
  <si>
    <t>间断使用</t>
    <phoneticPr fontId="4" type="noConversion"/>
  </si>
  <si>
    <t>中断后果严重</t>
    <phoneticPr fontId="4" type="noConversion"/>
  </si>
  <si>
    <t>利用率高</t>
    <phoneticPr fontId="4" type="noConversion"/>
  </si>
  <si>
    <t>闸门开闭装置</t>
    <phoneticPr fontId="4" type="noConversion"/>
  </si>
  <si>
    <t>举例</t>
    <phoneticPr fontId="4" type="noConversion"/>
  </si>
  <si>
    <t>机床、振动筛、破碎机、连续使用的起重机、离心电动机、空调设备、鼓风机、木工机械、铁路车辆车轴、印刷机械</t>
    <phoneticPr fontId="4" type="noConversion"/>
  </si>
  <si>
    <r>
      <t>3K</t>
    </r>
    <r>
      <rPr>
        <sz val="11"/>
        <color theme="1"/>
        <rFont val="宋体"/>
        <family val="3"/>
        <charset val="134"/>
      </rPr>
      <t>～</t>
    </r>
    <r>
      <rPr>
        <sz val="11"/>
        <color theme="1"/>
        <rFont val="Tahoma"/>
        <family val="2"/>
        <charset val="134"/>
      </rPr>
      <t>8K</t>
    </r>
    <phoneticPr fontId="4" type="noConversion"/>
  </si>
  <si>
    <r>
      <t>300</t>
    </r>
    <r>
      <rPr>
        <sz val="11"/>
        <color theme="1"/>
        <rFont val="宋体"/>
        <family val="3"/>
        <charset val="134"/>
      </rPr>
      <t>～</t>
    </r>
    <r>
      <rPr>
        <sz val="11"/>
        <color theme="1"/>
        <rFont val="Tahoma"/>
        <family val="2"/>
        <charset val="134"/>
      </rPr>
      <t>3K</t>
    </r>
    <phoneticPr fontId="4" type="noConversion"/>
  </si>
  <si>
    <r>
      <t>8K</t>
    </r>
    <r>
      <rPr>
        <sz val="11"/>
        <color theme="1"/>
        <rFont val="宋体"/>
        <family val="3"/>
        <charset val="134"/>
      </rPr>
      <t>～</t>
    </r>
    <r>
      <rPr>
        <sz val="11"/>
        <color theme="1"/>
        <rFont val="Tahoma"/>
        <family val="2"/>
        <charset val="134"/>
      </rPr>
      <t>12K</t>
    </r>
    <phoneticPr fontId="4" type="noConversion"/>
  </si>
  <si>
    <r>
      <t>12K</t>
    </r>
    <r>
      <rPr>
        <sz val="11"/>
        <color theme="1"/>
        <rFont val="宋体"/>
        <family val="3"/>
        <charset val="134"/>
      </rPr>
      <t>～</t>
    </r>
    <r>
      <rPr>
        <sz val="11"/>
        <color theme="1"/>
        <rFont val="Tahoma"/>
        <family val="2"/>
        <charset val="134"/>
      </rPr>
      <t>20K</t>
    </r>
    <phoneticPr fontId="4" type="noConversion"/>
  </si>
  <si>
    <r>
      <t>20K</t>
    </r>
    <r>
      <rPr>
        <sz val="11"/>
        <color theme="1"/>
        <rFont val="宋体"/>
        <family val="3"/>
        <charset val="134"/>
      </rPr>
      <t>～</t>
    </r>
    <r>
      <rPr>
        <sz val="11"/>
        <color theme="1"/>
        <rFont val="Tahoma"/>
        <family val="2"/>
        <charset val="134"/>
      </rPr>
      <t>30K</t>
    </r>
    <phoneticPr fontId="4" type="noConversion"/>
  </si>
  <si>
    <r>
      <t>40K</t>
    </r>
    <r>
      <rPr>
        <sz val="11"/>
        <color theme="1"/>
        <rFont val="宋体"/>
        <family val="3"/>
        <charset val="134"/>
      </rPr>
      <t>～</t>
    </r>
    <r>
      <rPr>
        <sz val="11"/>
        <color theme="1"/>
        <rFont val="Tahoma"/>
        <family val="2"/>
        <charset val="134"/>
      </rPr>
      <t>60K</t>
    </r>
    <phoneticPr fontId="4" type="noConversion"/>
  </si>
  <si>
    <t>100K~200K</t>
    <phoneticPr fontId="4" type="noConversion"/>
  </si>
  <si>
    <t>矿山升降机、纺织机械、泵、电机</t>
    <phoneticPr fontId="4" type="noConversion"/>
  </si>
  <si>
    <t>纤维生产或造纸设备、发电站主电机、矿井水泵、船舶螺旋桨轴、自来水设备</t>
    <phoneticPr fontId="4" type="noConversion"/>
  </si>
  <si>
    <t>中断后果不严重</t>
    <phoneticPr fontId="4" type="noConversion"/>
  </si>
  <si>
    <t>中断后果严重</t>
    <phoneticPr fontId="4" type="noConversion"/>
  </si>
  <si>
    <t>利用率不高</t>
    <phoneticPr fontId="4" type="noConversion"/>
  </si>
  <si>
    <t>每天8h运转</t>
    <phoneticPr fontId="4" type="noConversion"/>
  </si>
  <si>
    <t>24H连续运作机械</t>
    <phoneticPr fontId="4" type="noConversion"/>
  </si>
  <si>
    <t>Lh(h)</t>
    <phoneticPr fontId="4" type="noConversion"/>
  </si>
  <si>
    <t>发动机辅助装置、流水线、升降机、吊车、家电空调器马达、建筑机械、皮带机</t>
    <phoneticPr fontId="4" type="noConversion"/>
  </si>
  <si>
    <t>一般齿轮装置、工厂通用电动机、自动扶梯</t>
    <phoneticPr fontId="4" type="noConversion"/>
  </si>
  <si>
    <t>轴承校核计算合集</t>
    <phoneticPr fontId="4" type="noConversion"/>
  </si>
  <si>
    <r>
      <rPr>
        <sz val="11"/>
        <color theme="1"/>
        <rFont val="宋体"/>
        <family val="3"/>
        <charset val="134"/>
      </rPr>
      <t>参考表</t>
    </r>
    <r>
      <rPr>
        <sz val="11"/>
        <color theme="1"/>
        <rFont val="Tahoma"/>
        <family val="2"/>
      </rPr>
      <t>1</t>
    </r>
    <phoneticPr fontId="4" type="noConversion"/>
  </si>
  <si>
    <t>手动工具、家用电器、电动工具、农业机械、装配吊车、回柱绞车</t>
    <phoneticPr fontId="4" type="noConversion"/>
  </si>
  <si>
    <t>Fa/Fr&gt;e</t>
  </si>
  <si>
    <t>X</t>
  </si>
  <si>
    <t>Y</t>
  </si>
  <si>
    <t>轴承类型</t>
    <phoneticPr fontId="4" type="noConversion"/>
  </si>
  <si>
    <r>
      <rPr>
        <sz val="11"/>
        <color theme="1"/>
        <rFont val="宋体"/>
        <family val="3"/>
        <charset val="134"/>
      </rPr>
      <t>表</t>
    </r>
    <r>
      <rPr>
        <sz val="11"/>
        <color theme="1"/>
        <rFont val="Tahoma"/>
        <family val="2"/>
        <charset val="134"/>
      </rPr>
      <t xml:space="preserve">2 </t>
    </r>
    <r>
      <rPr>
        <sz val="11"/>
        <color theme="1"/>
        <rFont val="宋体"/>
        <family val="3"/>
        <charset val="134"/>
      </rPr>
      <t>径向动载荷系数</t>
    </r>
    <r>
      <rPr>
        <sz val="11"/>
        <color theme="1"/>
        <rFont val="Tahoma"/>
        <family val="2"/>
        <charset val="134"/>
      </rPr>
      <t>X</t>
    </r>
    <r>
      <rPr>
        <sz val="11"/>
        <color theme="1"/>
        <rFont val="宋体"/>
        <family val="3"/>
        <charset val="134"/>
      </rPr>
      <t>和轴向动载荷系数</t>
    </r>
    <r>
      <rPr>
        <sz val="11"/>
        <color theme="1"/>
        <rFont val="Tahoma"/>
        <family val="2"/>
        <charset val="134"/>
      </rPr>
      <t>Y</t>
    </r>
    <phoneticPr fontId="4" type="noConversion"/>
  </si>
  <si>
    <t>径向动载荷系数X</t>
    <phoneticPr fontId="4" type="noConversion"/>
  </si>
  <si>
    <r>
      <rPr>
        <sz val="11"/>
        <color theme="1"/>
        <rFont val="宋体"/>
        <family val="3"/>
        <charset val="134"/>
      </rPr>
      <t>轴向动载荷系数</t>
    </r>
    <r>
      <rPr>
        <sz val="11"/>
        <color theme="1"/>
        <rFont val="Tahoma"/>
        <family val="2"/>
      </rPr>
      <t>Y</t>
    </r>
    <phoneticPr fontId="4" type="noConversion"/>
  </si>
  <si>
    <t>表2</t>
    <phoneticPr fontId="4" type="noConversion"/>
  </si>
  <si>
    <r>
      <rPr>
        <sz val="11"/>
        <color theme="1"/>
        <rFont val="宋体"/>
        <family val="3"/>
        <charset val="134"/>
      </rPr>
      <t>载荷系数</t>
    </r>
    <r>
      <rPr>
        <sz val="11"/>
        <color theme="1"/>
        <rFont val="Tahoma"/>
        <family val="2"/>
      </rPr>
      <t>fp</t>
    </r>
    <phoneticPr fontId="4" type="noConversion"/>
  </si>
  <si>
    <r>
      <rPr>
        <sz val="11"/>
        <color theme="1"/>
        <rFont val="宋体"/>
        <family val="3"/>
        <charset val="134"/>
      </rPr>
      <t>表</t>
    </r>
    <r>
      <rPr>
        <sz val="11"/>
        <color theme="1"/>
        <rFont val="Tahoma"/>
        <family val="2"/>
      </rPr>
      <t>3</t>
    </r>
    <phoneticPr fontId="4" type="noConversion"/>
  </si>
  <si>
    <t>fp</t>
    <phoneticPr fontId="4" type="noConversion"/>
  </si>
  <si>
    <t>1.2~1.8</t>
    <phoneticPr fontId="4" type="noConversion"/>
  </si>
  <si>
    <t>1.8~3.0</t>
    <phoneticPr fontId="4" type="noConversion"/>
  </si>
  <si>
    <t>电动机、汽轮机、通风机、水泵</t>
    <phoneticPr fontId="4" type="noConversion"/>
  </si>
  <si>
    <t>车辆、机床、动力机械、起重机、造纸机、冶金机械、选矿机、卷扬机</t>
    <phoneticPr fontId="4" type="noConversion"/>
  </si>
  <si>
    <t>破碎机、轧钢机、钻探机、振动筛</t>
    <phoneticPr fontId="4" type="noConversion"/>
  </si>
  <si>
    <t>举例</t>
    <phoneticPr fontId="4" type="noConversion"/>
  </si>
  <si>
    <r>
      <rPr>
        <sz val="11"/>
        <color theme="1"/>
        <rFont val="宋体"/>
        <family val="3"/>
        <charset val="134"/>
      </rPr>
      <t>无</t>
    </r>
    <r>
      <rPr>
        <sz val="11"/>
        <color theme="1"/>
        <rFont val="Tahoma"/>
        <family val="2"/>
        <charset val="134"/>
      </rPr>
      <t>/</t>
    </r>
    <r>
      <rPr>
        <sz val="11"/>
        <color theme="1"/>
        <rFont val="宋体"/>
        <family val="3"/>
        <charset val="134"/>
      </rPr>
      <t>轻微冲击</t>
    </r>
    <phoneticPr fontId="4" type="noConversion"/>
  </si>
  <si>
    <t>中等或中等惯性冲击</t>
    <phoneticPr fontId="4" type="noConversion"/>
  </si>
  <si>
    <t>强大冲击</t>
    <phoneticPr fontId="4" type="noConversion"/>
  </si>
  <si>
    <t>指数ε</t>
    <phoneticPr fontId="4" type="noConversion"/>
  </si>
  <si>
    <r>
      <rPr>
        <sz val="11"/>
        <color theme="1"/>
        <rFont val="宋体"/>
        <family val="3"/>
        <charset val="134"/>
      </rPr>
      <t>当量动载荷</t>
    </r>
    <r>
      <rPr>
        <sz val="11"/>
        <color theme="1"/>
        <rFont val="Tahoma"/>
        <family val="2"/>
      </rPr>
      <t>P(N)</t>
    </r>
    <phoneticPr fontId="4" type="noConversion"/>
  </si>
  <si>
    <t>P=fp(XFr+YFa)</t>
    <phoneticPr fontId="4" type="noConversion"/>
  </si>
  <si>
    <t>初选选择轴承型号</t>
    <phoneticPr fontId="4" type="noConversion"/>
  </si>
  <si>
    <t>相对轴向载荷Fa/C0</t>
    <phoneticPr fontId="4" type="noConversion"/>
  </si>
  <si>
    <r>
      <rPr>
        <sz val="11"/>
        <color theme="1"/>
        <rFont val="宋体"/>
        <family val="3"/>
        <charset val="134"/>
      </rPr>
      <t>对应</t>
    </r>
    <r>
      <rPr>
        <sz val="11"/>
        <color theme="1"/>
        <rFont val="Tahoma"/>
        <family val="2"/>
        <charset val="134"/>
      </rPr>
      <t>Y</t>
    </r>
    <r>
      <rPr>
        <sz val="11"/>
        <color theme="1"/>
        <rFont val="宋体"/>
        <family val="3"/>
        <charset val="134"/>
      </rPr>
      <t>值</t>
    </r>
    <phoneticPr fontId="4" type="noConversion"/>
  </si>
  <si>
    <r>
      <rPr>
        <sz val="11"/>
        <color theme="1"/>
        <rFont val="宋体"/>
        <family val="3"/>
        <charset val="134"/>
      </rPr>
      <t>基本额定静载荷</t>
    </r>
    <r>
      <rPr>
        <sz val="11"/>
        <color theme="1"/>
        <rFont val="Tahoma"/>
        <family val="2"/>
      </rPr>
      <t>C0(N)</t>
    </r>
    <phoneticPr fontId="4" type="noConversion"/>
  </si>
  <si>
    <r>
      <rPr>
        <sz val="11"/>
        <rFont val="宋体"/>
        <family val="3"/>
        <charset val="134"/>
      </rPr>
      <t>计算寿命</t>
    </r>
    <r>
      <rPr>
        <sz val="11"/>
        <rFont val="Tahoma"/>
        <family val="2"/>
      </rPr>
      <t>Ls(h)</t>
    </r>
    <phoneticPr fontId="4" type="noConversion"/>
  </si>
  <si>
    <r>
      <rPr>
        <sz val="11"/>
        <color theme="1"/>
        <rFont val="宋体"/>
        <family val="3"/>
        <charset val="134"/>
      </rPr>
      <t>要求轴承孔径</t>
    </r>
    <r>
      <rPr>
        <sz val="11"/>
        <color theme="1"/>
        <rFont val="Tahoma"/>
        <family val="2"/>
      </rPr>
      <t>(mm)</t>
    </r>
    <phoneticPr fontId="4" type="noConversion"/>
  </si>
  <si>
    <t>对应e值</t>
    <phoneticPr fontId="4" type="noConversion"/>
  </si>
  <si>
    <r>
      <rPr>
        <sz val="11"/>
        <color theme="1"/>
        <rFont val="宋体"/>
        <family val="3"/>
        <charset val="134"/>
      </rPr>
      <t>轴径载荷比</t>
    </r>
    <r>
      <rPr>
        <sz val="11"/>
        <color theme="1"/>
        <rFont val="Tahoma"/>
        <family val="2"/>
      </rPr>
      <t>Fa/Fr</t>
    </r>
    <phoneticPr fontId="4" type="noConversion"/>
  </si>
  <si>
    <t>对比Fa/Fr与e</t>
    <phoneticPr fontId="4" type="noConversion"/>
  </si>
  <si>
    <r>
      <t>e</t>
    </r>
    <r>
      <rPr>
        <sz val="11"/>
        <color theme="1"/>
        <rFont val="宋体"/>
        <family val="3"/>
        <charset val="134"/>
      </rPr>
      <t>值</t>
    </r>
    <phoneticPr fontId="4" type="noConversion"/>
  </si>
  <si>
    <t>表2附1自动计算</t>
    <phoneticPr fontId="4" type="noConversion"/>
  </si>
  <si>
    <r>
      <rPr>
        <sz val="11"/>
        <color theme="1"/>
        <rFont val="宋体"/>
        <family val="3"/>
        <charset val="134"/>
      </rPr>
      <t>表</t>
    </r>
    <r>
      <rPr>
        <sz val="11"/>
        <color theme="1"/>
        <rFont val="Tahoma"/>
        <family val="2"/>
        <charset val="134"/>
      </rPr>
      <t>2</t>
    </r>
    <r>
      <rPr>
        <sz val="11"/>
        <color theme="1"/>
        <rFont val="宋体"/>
        <family val="3"/>
        <charset val="134"/>
      </rPr>
      <t>附</t>
    </r>
    <r>
      <rPr>
        <sz val="11"/>
        <color theme="1"/>
        <rFont val="Tahoma"/>
        <family val="2"/>
        <charset val="134"/>
      </rPr>
      <t xml:space="preserve">1 </t>
    </r>
    <r>
      <rPr>
        <sz val="11"/>
        <color theme="1"/>
        <rFont val="宋体"/>
        <family val="3"/>
        <charset val="134"/>
      </rPr>
      <t>已知</t>
    </r>
    <r>
      <rPr>
        <sz val="11"/>
        <color theme="1"/>
        <rFont val="Tahoma"/>
        <family val="2"/>
        <charset val="134"/>
      </rPr>
      <t>Fa/C0</t>
    </r>
    <r>
      <rPr>
        <sz val="11"/>
        <color theme="1"/>
        <rFont val="宋体"/>
        <family val="3"/>
        <charset val="134"/>
      </rPr>
      <t>用插值法自动计算</t>
    </r>
    <r>
      <rPr>
        <sz val="11"/>
        <color theme="1"/>
        <rFont val="Tahoma"/>
        <family val="2"/>
        <charset val="134"/>
      </rPr>
      <t>e</t>
    </r>
    <r>
      <rPr>
        <sz val="11"/>
        <color theme="1"/>
        <rFont val="宋体"/>
        <family val="3"/>
        <charset val="134"/>
      </rPr>
      <t>和</t>
    </r>
    <r>
      <rPr>
        <sz val="11"/>
        <color theme="1"/>
        <rFont val="Tahoma"/>
        <family val="2"/>
        <charset val="134"/>
      </rPr>
      <t>Y</t>
    </r>
    <phoneticPr fontId="4" type="noConversion"/>
  </si>
  <si>
    <r>
      <rPr>
        <sz val="11"/>
        <color theme="1"/>
        <rFont val="宋体"/>
        <family val="3"/>
        <charset val="134"/>
      </rPr>
      <t>温度系数</t>
    </r>
    <r>
      <rPr>
        <sz val="11"/>
        <color theme="1"/>
        <rFont val="Tahoma"/>
        <family val="2"/>
      </rPr>
      <t>ft</t>
    </r>
    <phoneticPr fontId="4" type="noConversion"/>
  </si>
  <si>
    <r>
      <rPr>
        <sz val="11"/>
        <color theme="1"/>
        <rFont val="宋体"/>
        <family val="3"/>
        <charset val="134"/>
      </rPr>
      <t>表</t>
    </r>
    <r>
      <rPr>
        <sz val="11"/>
        <color theme="1"/>
        <rFont val="Tahoma"/>
        <family val="2"/>
      </rPr>
      <t>4</t>
    </r>
    <phoneticPr fontId="4" type="noConversion"/>
  </si>
  <si>
    <r>
      <rPr>
        <sz val="11"/>
        <color theme="1"/>
        <rFont val="宋体"/>
        <family val="3"/>
        <charset val="134"/>
      </rPr>
      <t>表</t>
    </r>
    <r>
      <rPr>
        <sz val="11"/>
        <color theme="1"/>
        <rFont val="Tahoma"/>
        <family val="2"/>
        <charset val="134"/>
      </rPr>
      <t xml:space="preserve">3 </t>
    </r>
    <r>
      <rPr>
        <sz val="11"/>
        <color theme="1"/>
        <rFont val="宋体"/>
        <family val="3"/>
        <charset val="134"/>
      </rPr>
      <t>轴承载荷系数</t>
    </r>
    <r>
      <rPr>
        <sz val="11"/>
        <color theme="1"/>
        <rFont val="Tahoma"/>
        <family val="2"/>
        <charset val="134"/>
      </rPr>
      <t>fp</t>
    </r>
    <phoneticPr fontId="4" type="noConversion"/>
  </si>
  <si>
    <t>表4 温度系数ft</t>
    <phoneticPr fontId="4" type="noConversion"/>
  </si>
  <si>
    <t>ft</t>
    <phoneticPr fontId="4" type="noConversion"/>
  </si>
  <si>
    <r>
      <rPr>
        <sz val="11"/>
        <color theme="1"/>
        <rFont val="宋体"/>
        <family val="3"/>
        <charset val="134"/>
      </rPr>
      <t>工作温度</t>
    </r>
    <r>
      <rPr>
        <sz val="11"/>
        <color theme="1"/>
        <rFont val="Tahoma"/>
        <family val="2"/>
        <charset val="134"/>
      </rPr>
      <t>(</t>
    </r>
    <r>
      <rPr>
        <i/>
        <sz val="10.5"/>
        <color theme="1"/>
        <rFont val="仿宋"/>
        <family val="3"/>
        <charset val="134"/>
      </rPr>
      <t>℃</t>
    </r>
    <r>
      <rPr>
        <i/>
        <sz val="10.5"/>
        <color theme="1"/>
        <rFont val="Tahoma"/>
        <family val="2"/>
        <charset val="134"/>
      </rPr>
      <t>)</t>
    </r>
    <phoneticPr fontId="4" type="noConversion"/>
  </si>
  <si>
    <r>
      <rPr>
        <sz val="11"/>
        <color theme="1"/>
        <rFont val="宋体"/>
        <family val="3"/>
        <charset val="134"/>
      </rPr>
      <t>≤</t>
    </r>
    <r>
      <rPr>
        <sz val="11"/>
        <color theme="1"/>
        <rFont val="Tahoma"/>
        <family val="2"/>
        <charset val="134"/>
      </rPr>
      <t>120</t>
    </r>
    <phoneticPr fontId="4" type="noConversion"/>
  </si>
  <si>
    <t>查样本，如表5</t>
    <phoneticPr fontId="4" type="noConversion"/>
  </si>
  <si>
    <r>
      <rPr>
        <sz val="11"/>
        <color theme="1"/>
        <rFont val="宋体"/>
        <family val="3"/>
        <charset val="134"/>
      </rPr>
      <t>所需基本额定动载荷</t>
    </r>
    <r>
      <rPr>
        <sz val="11"/>
        <color theme="1"/>
        <rFont val="Tahoma"/>
        <family val="2"/>
      </rPr>
      <t>C</t>
    </r>
    <phoneticPr fontId="4" type="noConversion"/>
  </si>
  <si>
    <r>
      <rPr>
        <sz val="11"/>
        <color theme="1"/>
        <rFont val="宋体"/>
        <family val="3"/>
        <charset val="134"/>
      </rPr>
      <t>基本额定动载荷</t>
    </r>
    <r>
      <rPr>
        <sz val="11"/>
        <color theme="1"/>
        <rFont val="Tahoma"/>
        <family val="2"/>
      </rPr>
      <t>Cr(N)</t>
    </r>
    <phoneticPr fontId="4" type="noConversion"/>
  </si>
  <si>
    <t>2,计算当量动载荷P</t>
    <phoneticPr fontId="4" type="noConversion"/>
  </si>
  <si>
    <t>3，校核轴承额定动载荷或使用寿命</t>
    <phoneticPr fontId="4" type="noConversion"/>
  </si>
  <si>
    <t>校核基本额定动载荷C=校核寿命Lh，二者等效，校核其一即可</t>
    <phoneticPr fontId="4" type="noConversion"/>
  </si>
  <si>
    <r>
      <rPr>
        <sz val="11"/>
        <color theme="1"/>
        <rFont val="宋体"/>
        <family val="3"/>
        <charset val="134"/>
      </rPr>
      <t>表5</t>
    </r>
    <r>
      <rPr>
        <sz val="11"/>
        <color theme="1"/>
        <rFont val="Tahoma"/>
        <family val="2"/>
        <charset val="134"/>
      </rPr>
      <t xml:space="preserve"> NHK</t>
    </r>
    <r>
      <rPr>
        <sz val="11"/>
        <color theme="1"/>
        <rFont val="宋体"/>
        <family val="3"/>
        <charset val="134"/>
      </rPr>
      <t>深沟球轴承样本截图</t>
    </r>
    <phoneticPr fontId="4" type="noConversion"/>
  </si>
  <si>
    <r>
      <t>NHK</t>
    </r>
    <r>
      <rPr>
        <sz val="11"/>
        <color theme="1"/>
        <rFont val="宋体"/>
        <family val="3"/>
        <charset val="134"/>
      </rPr>
      <t>圆柱滚子样本截图</t>
    </r>
    <phoneticPr fontId="4" type="noConversion"/>
  </si>
  <si>
    <t>此处只考虑轴向载荷</t>
    <phoneticPr fontId="4" type="noConversion"/>
  </si>
  <si>
    <t>P=fp*Fr</t>
    <phoneticPr fontId="4" type="noConversion"/>
  </si>
  <si>
    <t>N208</t>
    <phoneticPr fontId="4" type="noConversion"/>
  </si>
  <si>
    <t>2,轴承选型</t>
    <phoneticPr fontId="4" type="noConversion"/>
  </si>
  <si>
    <t>3,寿命计算</t>
    <phoneticPr fontId="4" type="noConversion"/>
  </si>
  <si>
    <t>1,计算轴承额定动载荷</t>
    <phoneticPr fontId="4" type="noConversion"/>
  </si>
  <si>
    <r>
      <t>圆柱滚子轴承</t>
    </r>
    <r>
      <rPr>
        <b/>
        <sz val="12"/>
        <rFont val="宋体"/>
        <family val="3"/>
        <charset val="134"/>
      </rPr>
      <t>(N系)</t>
    </r>
    <r>
      <rPr>
        <b/>
        <sz val="12"/>
        <color rgb="FFFF0000"/>
        <rFont val="宋体"/>
        <family val="3"/>
        <charset val="134"/>
      </rPr>
      <t>选型计算</t>
    </r>
    <phoneticPr fontId="4" type="noConversion"/>
  </si>
  <si>
    <r>
      <t>圆锥滚子轴承</t>
    </r>
    <r>
      <rPr>
        <b/>
        <sz val="12"/>
        <rFont val="宋体"/>
        <family val="3"/>
        <charset val="134"/>
      </rPr>
      <t>(3系)</t>
    </r>
    <r>
      <rPr>
        <b/>
        <sz val="12"/>
        <color rgb="FFFF0000"/>
        <rFont val="宋体"/>
        <family val="3"/>
        <charset val="134"/>
      </rPr>
      <t>或角接触球轴承</t>
    </r>
    <r>
      <rPr>
        <b/>
        <sz val="12"/>
        <rFont val="宋体"/>
        <family val="3"/>
        <charset val="134"/>
      </rPr>
      <t>(7系)</t>
    </r>
    <r>
      <rPr>
        <b/>
        <sz val="12"/>
        <color rgb="FF7030A0"/>
        <rFont val="宋体"/>
        <family val="3"/>
        <charset val="134"/>
      </rPr>
      <t>校核计算</t>
    </r>
    <phoneticPr fontId="4" type="noConversion"/>
  </si>
  <si>
    <r>
      <t>NHK</t>
    </r>
    <r>
      <rPr>
        <sz val="11"/>
        <color theme="1"/>
        <rFont val="宋体"/>
        <family val="3"/>
        <charset val="134"/>
      </rPr>
      <t>圆锥滚子轴承样本截图</t>
    </r>
    <phoneticPr fontId="4" type="noConversion"/>
  </si>
  <si>
    <r>
      <t>NHK</t>
    </r>
    <r>
      <rPr>
        <sz val="11"/>
        <color theme="1"/>
        <rFont val="宋体"/>
        <family val="3"/>
        <charset val="134"/>
      </rPr>
      <t>角接触球轴承样本截图</t>
    </r>
    <phoneticPr fontId="4" type="noConversion"/>
  </si>
  <si>
    <r>
      <t>Y0</t>
    </r>
    <r>
      <rPr>
        <sz val="11"/>
        <color theme="1"/>
        <rFont val="宋体"/>
        <family val="3"/>
        <charset val="134"/>
      </rPr>
      <t>当量轴向</t>
    </r>
    <r>
      <rPr>
        <sz val="11"/>
        <color rgb="FFFF0000"/>
        <rFont val="宋体"/>
        <family val="3"/>
        <charset val="134"/>
      </rPr>
      <t>静</t>
    </r>
    <r>
      <rPr>
        <sz val="11"/>
        <color theme="1"/>
        <rFont val="宋体"/>
        <family val="3"/>
        <charset val="134"/>
      </rPr>
      <t>载荷系数，</t>
    </r>
    <r>
      <rPr>
        <sz val="11"/>
        <color theme="1"/>
        <rFont val="Tahoma"/>
        <family val="2"/>
        <charset val="134"/>
      </rPr>
      <t>Y1</t>
    </r>
    <r>
      <rPr>
        <sz val="11"/>
        <color theme="1"/>
        <rFont val="宋体"/>
        <family val="3"/>
        <charset val="134"/>
      </rPr>
      <t>当量轴向</t>
    </r>
    <r>
      <rPr>
        <sz val="11"/>
        <color rgb="FFFF0000"/>
        <rFont val="宋体"/>
        <family val="3"/>
        <charset val="134"/>
      </rPr>
      <t>动</t>
    </r>
    <r>
      <rPr>
        <sz val="11"/>
        <color theme="1"/>
        <rFont val="宋体"/>
        <family val="3"/>
        <charset val="134"/>
      </rPr>
      <t>载荷系数</t>
    </r>
    <phoneticPr fontId="4" type="noConversion"/>
  </si>
  <si>
    <t>确定轴承类型</t>
    <phoneticPr fontId="4" type="noConversion"/>
  </si>
  <si>
    <t>圆锥滚子轴承(3系)</t>
  </si>
  <si>
    <r>
      <rPr>
        <sz val="11"/>
        <color theme="1"/>
        <rFont val="宋体"/>
        <family val="3"/>
        <charset val="134"/>
      </rPr>
      <t>表</t>
    </r>
    <r>
      <rPr>
        <sz val="11"/>
        <color theme="1"/>
        <rFont val="Tahoma"/>
        <family val="2"/>
        <charset val="134"/>
      </rPr>
      <t>2</t>
    </r>
    <r>
      <rPr>
        <sz val="11"/>
        <color theme="1"/>
        <rFont val="宋体"/>
        <family val="3"/>
        <charset val="134"/>
      </rPr>
      <t>附</t>
    </r>
    <r>
      <rPr>
        <sz val="11"/>
        <color theme="1"/>
        <rFont val="Tahoma"/>
        <family val="2"/>
        <charset val="134"/>
      </rPr>
      <t xml:space="preserve">2 </t>
    </r>
    <r>
      <rPr>
        <sz val="11"/>
        <color theme="1"/>
        <rFont val="宋体"/>
        <family val="3"/>
        <charset val="134"/>
      </rPr>
      <t>已知</t>
    </r>
    <r>
      <rPr>
        <sz val="11"/>
        <color theme="1"/>
        <rFont val="Tahoma"/>
        <family val="2"/>
        <charset val="134"/>
      </rPr>
      <t>Fa/C0</t>
    </r>
    <r>
      <rPr>
        <sz val="11"/>
        <color theme="1"/>
        <rFont val="宋体"/>
        <family val="3"/>
        <charset val="134"/>
      </rPr>
      <t>用插值法自动计算</t>
    </r>
    <r>
      <rPr>
        <sz val="11"/>
        <color theme="1"/>
        <rFont val="Tahoma"/>
        <family val="2"/>
        <charset val="134"/>
      </rPr>
      <t>7000C</t>
    </r>
    <r>
      <rPr>
        <sz val="11"/>
        <color theme="1"/>
        <rFont val="宋体"/>
        <family val="3"/>
        <charset val="134"/>
      </rPr>
      <t>轴承</t>
    </r>
    <r>
      <rPr>
        <sz val="11"/>
        <color theme="1"/>
        <rFont val="Tahoma"/>
        <family val="2"/>
        <charset val="134"/>
      </rPr>
      <t>e</t>
    </r>
    <r>
      <rPr>
        <sz val="11"/>
        <color theme="1"/>
        <rFont val="宋体"/>
        <family val="3"/>
        <charset val="134"/>
      </rPr>
      <t>和</t>
    </r>
    <r>
      <rPr>
        <sz val="11"/>
        <color theme="1"/>
        <rFont val="Tahoma"/>
        <family val="2"/>
        <charset val="134"/>
      </rPr>
      <t>Y</t>
    </r>
    <phoneticPr fontId="4" type="noConversion"/>
  </si>
  <si>
    <r>
      <rPr>
        <sz val="11"/>
        <color theme="1"/>
        <rFont val="宋体"/>
        <family val="3"/>
        <charset val="134"/>
      </rPr>
      <t>系数</t>
    </r>
    <r>
      <rPr>
        <sz val="11"/>
        <color theme="1"/>
        <rFont val="Tahoma"/>
        <family val="2"/>
      </rPr>
      <t>e</t>
    </r>
    <phoneticPr fontId="4" type="noConversion"/>
  </si>
  <si>
    <t>7系不用填</t>
    <phoneticPr fontId="4" type="noConversion"/>
  </si>
  <si>
    <t>序：典型轴承模型受力分析</t>
    <phoneticPr fontId="4" type="noConversion"/>
  </si>
  <si>
    <r>
      <t>深沟球轴承</t>
    </r>
    <r>
      <rPr>
        <b/>
        <sz val="12"/>
        <rFont val="宋体"/>
        <family val="3"/>
        <charset val="134"/>
      </rPr>
      <t>(6系)</t>
    </r>
    <r>
      <rPr>
        <b/>
        <sz val="12"/>
        <color rgb="FF7030A0"/>
        <rFont val="宋体"/>
        <family val="3"/>
        <charset val="134"/>
      </rPr>
      <t>校核计算</t>
    </r>
    <phoneticPr fontId="4" type="noConversion"/>
  </si>
  <si>
    <r>
      <rPr>
        <sz val="11"/>
        <color theme="1"/>
        <rFont val="宋体"/>
        <family val="3"/>
        <charset val="134"/>
      </rPr>
      <t>参数</t>
    </r>
    <phoneticPr fontId="4" type="noConversion"/>
  </si>
  <si>
    <r>
      <rPr>
        <sz val="11"/>
        <color theme="1"/>
        <rFont val="宋体"/>
        <family val="3"/>
        <charset val="134"/>
      </rPr>
      <t>取值</t>
    </r>
    <phoneticPr fontId="4" type="noConversion"/>
  </si>
  <si>
    <r>
      <rPr>
        <sz val="11"/>
        <color theme="1"/>
        <rFont val="宋体"/>
        <family val="3"/>
        <charset val="134"/>
      </rPr>
      <t>备注</t>
    </r>
    <phoneticPr fontId="4" type="noConversion"/>
  </si>
  <si>
    <r>
      <rPr>
        <sz val="11"/>
        <color theme="1"/>
        <rFont val="宋体"/>
        <family val="3"/>
        <charset val="134"/>
      </rPr>
      <t>轴向力</t>
    </r>
    <r>
      <rPr>
        <sz val="11"/>
        <color theme="1"/>
        <rFont val="Tahoma"/>
        <family val="2"/>
      </rPr>
      <t>Fae(N)</t>
    </r>
    <phoneticPr fontId="4" type="noConversion"/>
  </si>
  <si>
    <r>
      <rPr>
        <sz val="11"/>
        <color theme="1"/>
        <rFont val="宋体"/>
        <family val="3"/>
        <charset val="134"/>
      </rPr>
      <t>径向力</t>
    </r>
    <r>
      <rPr>
        <sz val="11"/>
        <color theme="1"/>
        <rFont val="Tahoma"/>
        <family val="2"/>
      </rPr>
      <t>Fre(N)</t>
    </r>
    <phoneticPr fontId="4" type="noConversion"/>
  </si>
  <si>
    <t>参数</t>
    <phoneticPr fontId="4" type="noConversion"/>
  </si>
  <si>
    <t>数值</t>
    <phoneticPr fontId="4" type="noConversion"/>
  </si>
  <si>
    <r>
      <rPr>
        <sz val="11"/>
        <color theme="1"/>
        <rFont val="宋体"/>
        <family val="3"/>
        <charset val="134"/>
      </rPr>
      <t>轮节圆</t>
    </r>
    <r>
      <rPr>
        <sz val="11"/>
        <color theme="1"/>
        <rFont val="Tahoma"/>
        <family val="2"/>
      </rPr>
      <t>d(mm)</t>
    </r>
    <phoneticPr fontId="4" type="noConversion"/>
  </si>
  <si>
    <r>
      <rPr>
        <sz val="11"/>
        <color theme="1"/>
        <rFont val="宋体"/>
        <family val="3"/>
        <charset val="134"/>
      </rPr>
      <t>距离</t>
    </r>
    <r>
      <rPr>
        <sz val="11"/>
        <color theme="1"/>
        <rFont val="Tahoma"/>
        <family val="2"/>
      </rPr>
      <t>a(mm)</t>
    </r>
    <phoneticPr fontId="4" type="noConversion"/>
  </si>
  <si>
    <r>
      <rPr>
        <sz val="11"/>
        <color theme="1"/>
        <rFont val="宋体"/>
        <family val="3"/>
        <charset val="134"/>
      </rPr>
      <t>距离</t>
    </r>
    <r>
      <rPr>
        <sz val="11"/>
        <color theme="1"/>
        <rFont val="Tahoma"/>
        <family val="2"/>
      </rPr>
      <t>b(mm)</t>
    </r>
    <phoneticPr fontId="4" type="noConversion"/>
  </si>
  <si>
    <t>轴承径向力</t>
    <phoneticPr fontId="4" type="noConversion"/>
  </si>
  <si>
    <r>
      <rPr>
        <sz val="11"/>
        <color theme="1"/>
        <rFont val="宋体"/>
        <family val="3"/>
        <charset val="134"/>
      </rPr>
      <t>切向力</t>
    </r>
    <r>
      <rPr>
        <sz val="11"/>
        <color theme="1"/>
        <rFont val="Tahoma"/>
        <family val="2"/>
      </rPr>
      <t>Fte(N)</t>
    </r>
    <phoneticPr fontId="4" type="noConversion"/>
  </si>
  <si>
    <t>AC(α=25°)</t>
    <phoneticPr fontId="4" type="noConversion"/>
  </si>
  <si>
    <r>
      <t>C</t>
    </r>
    <r>
      <rPr>
        <sz val="11"/>
        <color theme="1"/>
        <rFont val="Tahoma"/>
        <family val="2"/>
        <charset val="134"/>
      </rPr>
      <t>(α=15°)</t>
    </r>
    <phoneticPr fontId="4" type="noConversion"/>
  </si>
  <si>
    <t>Fd=0.68Fr</t>
    <phoneticPr fontId="4" type="noConversion"/>
  </si>
  <si>
    <t>Fd=1.14Fr</t>
    <phoneticPr fontId="4" type="noConversion"/>
  </si>
  <si>
    <t>Fd=eFr</t>
    <phoneticPr fontId="4" type="noConversion"/>
  </si>
  <si>
    <t>圆锥滚子
轴承</t>
    <phoneticPr fontId="4" type="noConversion"/>
  </si>
  <si>
    <r>
      <rPr>
        <sz val="11"/>
        <color theme="1"/>
        <rFont val="宋体"/>
        <family val="3"/>
        <charset val="134"/>
      </rPr>
      <t>序表</t>
    </r>
    <r>
      <rPr>
        <sz val="11"/>
        <color theme="1"/>
        <rFont val="Tahoma"/>
        <family val="2"/>
        <charset val="134"/>
      </rPr>
      <t xml:space="preserve"> </t>
    </r>
    <r>
      <rPr>
        <sz val="11"/>
        <color theme="1"/>
        <rFont val="宋体"/>
        <family val="3"/>
        <charset val="134"/>
      </rPr>
      <t>派生轴向力</t>
    </r>
    <r>
      <rPr>
        <sz val="11"/>
        <color theme="1"/>
        <rFont val="Tahoma"/>
        <family val="2"/>
        <charset val="134"/>
      </rPr>
      <t>Fd</t>
    </r>
    <r>
      <rPr>
        <sz val="11"/>
        <color theme="1"/>
        <rFont val="宋体"/>
        <family val="3"/>
        <charset val="134"/>
      </rPr>
      <t>计算公式</t>
    </r>
    <phoneticPr fontId="4" type="noConversion"/>
  </si>
  <si>
    <t>步骤</t>
    <phoneticPr fontId="4" type="noConversion"/>
  </si>
  <si>
    <r>
      <rPr>
        <sz val="11"/>
        <color theme="1"/>
        <rFont val="宋体"/>
        <family val="3"/>
        <charset val="134"/>
      </rPr>
      <t>圆锥滚子轴承</t>
    </r>
    <r>
      <rPr>
        <sz val="11"/>
        <color theme="1"/>
        <rFont val="Tahoma"/>
        <family val="2"/>
      </rPr>
      <t>e</t>
    </r>
    <r>
      <rPr>
        <sz val="11"/>
        <color theme="1"/>
        <rFont val="宋体"/>
        <family val="3"/>
        <charset val="134"/>
      </rPr>
      <t>值</t>
    </r>
    <phoneticPr fontId="4" type="noConversion"/>
  </si>
  <si>
    <r>
      <rPr>
        <sz val="11"/>
        <color theme="1"/>
        <rFont val="宋体"/>
        <family val="3"/>
        <charset val="134"/>
      </rPr>
      <t>圆锥滚子轴承</t>
    </r>
    <r>
      <rPr>
        <sz val="11"/>
        <color theme="1"/>
        <rFont val="Tahoma"/>
        <family val="2"/>
      </rPr>
      <t>Y1</t>
    </r>
    <r>
      <rPr>
        <sz val="11"/>
        <color theme="1"/>
        <rFont val="宋体"/>
        <family val="3"/>
        <charset val="134"/>
      </rPr>
      <t>值</t>
    </r>
    <phoneticPr fontId="4" type="noConversion"/>
  </si>
  <si>
    <t>两端为圆锥滚子轴承时的轴向力</t>
    <phoneticPr fontId="4" type="noConversion"/>
  </si>
  <si>
    <r>
      <rPr>
        <sz val="11"/>
        <color theme="1"/>
        <rFont val="宋体"/>
        <family val="3"/>
        <charset val="134"/>
      </rPr>
      <t>左轴承派生轴向力</t>
    </r>
    <r>
      <rPr>
        <sz val="11"/>
        <color theme="1"/>
        <rFont val="Tahoma"/>
        <family val="2"/>
      </rPr>
      <t>Fd1(N)</t>
    </r>
    <phoneticPr fontId="4" type="noConversion"/>
  </si>
  <si>
    <r>
      <rPr>
        <sz val="11"/>
        <color theme="1"/>
        <rFont val="宋体"/>
        <family val="3"/>
        <charset val="134"/>
      </rPr>
      <t>右轴承派生轴向力</t>
    </r>
    <r>
      <rPr>
        <sz val="11"/>
        <color theme="1"/>
        <rFont val="Tahoma"/>
        <family val="2"/>
      </rPr>
      <t>Fd2(N)</t>
    </r>
    <phoneticPr fontId="4" type="noConversion"/>
  </si>
  <si>
    <r>
      <rPr>
        <sz val="11"/>
        <color theme="1"/>
        <rFont val="宋体"/>
        <family val="3"/>
        <charset val="134"/>
      </rPr>
      <t>根据</t>
    </r>
    <r>
      <rPr>
        <sz val="11"/>
        <color theme="1"/>
        <rFont val="Tahoma"/>
        <family val="2"/>
      </rPr>
      <t>Fae</t>
    </r>
    <r>
      <rPr>
        <sz val="11"/>
        <color theme="1"/>
        <rFont val="宋体"/>
        <family val="3"/>
        <charset val="134"/>
      </rPr>
      <t>判断被压紧轴承</t>
    </r>
    <phoneticPr fontId="4" type="noConversion"/>
  </si>
  <si>
    <t>左侧轴承被压紧</t>
  </si>
  <si>
    <t>轴承型号</t>
    <phoneticPr fontId="4" type="noConversion"/>
  </si>
  <si>
    <t>右侧轴承被压紧</t>
  </si>
  <si>
    <t>7000AC</t>
  </si>
  <si>
    <r>
      <t>两端为</t>
    </r>
    <r>
      <rPr>
        <sz val="11"/>
        <color theme="1"/>
        <rFont val="Tahoma"/>
        <family val="2"/>
      </rPr>
      <t>7000AC</t>
    </r>
    <r>
      <rPr>
        <sz val="11"/>
        <color theme="1"/>
        <rFont val="宋体"/>
        <family val="3"/>
        <charset val="134"/>
      </rPr>
      <t>或</t>
    </r>
    <r>
      <rPr>
        <sz val="11"/>
        <color theme="1"/>
        <rFont val="Tahoma"/>
        <family val="2"/>
      </rPr>
      <t>7000B</t>
    </r>
    <r>
      <rPr>
        <sz val="11"/>
        <color theme="1"/>
        <rFont val="宋体"/>
        <family val="3"/>
        <charset val="134"/>
      </rPr>
      <t>时的轴向力</t>
    </r>
    <phoneticPr fontId="4" type="noConversion"/>
  </si>
  <si>
    <t>两端为7000C时的轴向力</t>
    <phoneticPr fontId="4" type="noConversion"/>
  </si>
  <si>
    <r>
      <rPr>
        <b/>
        <sz val="11"/>
        <color rgb="FFFF0000"/>
        <rFont val="宋体"/>
        <family val="3"/>
        <charset val="134"/>
      </rPr>
      <t>右</t>
    </r>
    <r>
      <rPr>
        <sz val="11"/>
        <color theme="1"/>
        <rFont val="宋体"/>
        <family val="3"/>
        <charset val="134"/>
      </rPr>
      <t>轴承派生轴向力</t>
    </r>
    <r>
      <rPr>
        <sz val="11"/>
        <color theme="1"/>
        <rFont val="Tahoma"/>
        <family val="2"/>
      </rPr>
      <t>Fd2(N)</t>
    </r>
    <phoneticPr fontId="4" type="noConversion"/>
  </si>
  <si>
    <r>
      <rPr>
        <b/>
        <sz val="11"/>
        <color rgb="FFFF0000"/>
        <rFont val="宋体"/>
        <family val="3"/>
        <charset val="134"/>
      </rPr>
      <t>左</t>
    </r>
    <r>
      <rPr>
        <sz val="11"/>
        <color theme="1"/>
        <rFont val="宋体"/>
        <family val="3"/>
        <charset val="134"/>
      </rPr>
      <t>轴承派生轴向力</t>
    </r>
    <r>
      <rPr>
        <sz val="11"/>
        <color theme="1"/>
        <rFont val="Tahoma"/>
        <family val="2"/>
      </rPr>
      <t>Fd1(N)</t>
    </r>
    <phoneticPr fontId="4" type="noConversion"/>
  </si>
  <si>
    <t>1,按安装尺寸或受力分析初选轴承</t>
    <phoneticPr fontId="4" type="noConversion"/>
  </si>
  <si>
    <t>1,按安装尺寸或受力分析初选轴承</t>
    <phoneticPr fontId="4" type="noConversion"/>
  </si>
  <si>
    <t>轴承型号</t>
    <phoneticPr fontId="4" type="noConversion"/>
  </si>
  <si>
    <t>7908C</t>
    <phoneticPr fontId="4" type="noConversion"/>
  </si>
  <si>
    <r>
      <rPr>
        <sz val="11"/>
        <color theme="1"/>
        <rFont val="宋体"/>
        <family val="3"/>
        <charset val="134"/>
      </rPr>
      <t>表</t>
    </r>
    <r>
      <rPr>
        <sz val="11"/>
        <color theme="1"/>
        <rFont val="Tahoma"/>
        <family val="2"/>
        <charset val="134"/>
      </rPr>
      <t>2</t>
    </r>
    <r>
      <rPr>
        <sz val="11"/>
        <color theme="1"/>
        <rFont val="宋体"/>
        <family val="3"/>
        <charset val="134"/>
      </rPr>
      <t>附</t>
    </r>
    <r>
      <rPr>
        <sz val="11"/>
        <color theme="1"/>
        <rFont val="Tahoma"/>
        <family val="2"/>
        <charset val="134"/>
      </rPr>
      <t xml:space="preserve">3 </t>
    </r>
    <r>
      <rPr>
        <sz val="11"/>
        <color theme="1"/>
        <rFont val="宋体"/>
        <family val="3"/>
        <charset val="134"/>
      </rPr>
      <t>已知</t>
    </r>
    <r>
      <rPr>
        <sz val="11"/>
        <color theme="1"/>
        <rFont val="Tahoma"/>
        <family val="2"/>
        <charset val="134"/>
      </rPr>
      <t>Fa/C0</t>
    </r>
    <r>
      <rPr>
        <sz val="11"/>
        <color theme="1"/>
        <rFont val="宋体"/>
        <family val="3"/>
        <charset val="134"/>
      </rPr>
      <t>用插值法自动计算</t>
    </r>
    <r>
      <rPr>
        <sz val="11"/>
        <color theme="1"/>
        <rFont val="Tahoma"/>
        <family val="2"/>
        <charset val="134"/>
      </rPr>
      <t>7000C</t>
    </r>
    <r>
      <rPr>
        <sz val="11"/>
        <color theme="1"/>
        <rFont val="宋体"/>
        <family val="3"/>
        <charset val="134"/>
      </rPr>
      <t>轴承</t>
    </r>
    <r>
      <rPr>
        <sz val="11"/>
        <color theme="1"/>
        <rFont val="Tahoma"/>
        <family val="2"/>
        <charset val="134"/>
      </rPr>
      <t>e</t>
    </r>
    <r>
      <rPr>
        <sz val="11"/>
        <color theme="1"/>
        <rFont val="宋体"/>
        <family val="3"/>
        <charset val="134"/>
      </rPr>
      <t>和</t>
    </r>
    <r>
      <rPr>
        <sz val="11"/>
        <color theme="1"/>
        <rFont val="Tahoma"/>
        <family val="2"/>
        <charset val="134"/>
      </rPr>
      <t>Y</t>
    </r>
    <phoneticPr fontId="4" type="noConversion"/>
  </si>
  <si>
    <r>
      <rPr>
        <sz val="11"/>
        <color theme="1"/>
        <rFont val="宋体"/>
        <family val="3"/>
        <charset val="134"/>
      </rPr>
      <t>受力分析中</t>
    </r>
    <r>
      <rPr>
        <sz val="11"/>
        <color theme="1"/>
        <rFont val="Tahoma"/>
        <family val="2"/>
        <charset val="134"/>
      </rPr>
      <t>7000C</t>
    </r>
    <r>
      <rPr>
        <sz val="11"/>
        <color theme="1"/>
        <rFont val="宋体"/>
        <family val="3"/>
        <charset val="134"/>
      </rPr>
      <t>中用</t>
    </r>
    <phoneticPr fontId="4" type="noConversion"/>
  </si>
  <si>
    <t>对应e1值</t>
    <phoneticPr fontId="4" type="noConversion"/>
  </si>
  <si>
    <t>对应e2值</t>
    <phoneticPr fontId="4" type="noConversion"/>
  </si>
  <si>
    <r>
      <t>Fa/C0</t>
    </r>
    <r>
      <rPr>
        <sz val="11"/>
        <color theme="1"/>
        <rFont val="宋体"/>
        <family val="3"/>
        <charset val="134"/>
      </rPr>
      <t>值</t>
    </r>
    <phoneticPr fontId="4" type="noConversion"/>
  </si>
  <si>
    <r>
      <t>Fa1/C0</t>
    </r>
    <r>
      <rPr>
        <sz val="11"/>
        <color theme="1"/>
        <rFont val="宋体"/>
        <family val="3"/>
        <charset val="134"/>
      </rPr>
      <t>值</t>
    </r>
    <phoneticPr fontId="4" type="noConversion"/>
  </si>
  <si>
    <r>
      <t>Fa2/C0</t>
    </r>
    <r>
      <rPr>
        <sz val="11"/>
        <color theme="1"/>
        <rFont val="宋体"/>
        <family val="3"/>
        <charset val="134"/>
      </rPr>
      <t>值</t>
    </r>
    <phoneticPr fontId="4" type="noConversion"/>
  </si>
  <si>
    <r>
      <rPr>
        <sz val="11"/>
        <color theme="1"/>
        <rFont val="宋体"/>
        <family val="3"/>
        <charset val="134"/>
      </rPr>
      <t>基准</t>
    </r>
    <r>
      <rPr>
        <sz val="11"/>
        <color theme="1"/>
        <rFont val="Tahoma"/>
        <family val="2"/>
        <charset val="134"/>
      </rPr>
      <t>1</t>
    </r>
    <phoneticPr fontId="4" type="noConversion"/>
  </si>
  <si>
    <r>
      <rPr>
        <sz val="11"/>
        <color theme="1"/>
        <rFont val="宋体"/>
        <family val="3"/>
        <charset val="134"/>
      </rPr>
      <t>基准</t>
    </r>
    <r>
      <rPr>
        <sz val="11"/>
        <color theme="1"/>
        <rFont val="Tahoma"/>
        <family val="2"/>
        <charset val="134"/>
      </rPr>
      <t>2</t>
    </r>
    <phoneticPr fontId="4" type="noConversion"/>
  </si>
  <si>
    <t>所求值</t>
    <phoneticPr fontId="4" type="noConversion"/>
  </si>
  <si>
    <r>
      <rPr>
        <b/>
        <sz val="11"/>
        <color rgb="FFFF0000"/>
        <rFont val="宋体"/>
        <family val="3"/>
        <charset val="134"/>
      </rPr>
      <t>左</t>
    </r>
    <r>
      <rPr>
        <b/>
        <sz val="11"/>
        <color theme="1"/>
        <rFont val="宋体"/>
        <family val="3"/>
        <charset val="134"/>
      </rPr>
      <t>轴承径向力</t>
    </r>
    <r>
      <rPr>
        <b/>
        <sz val="11"/>
        <color theme="1"/>
        <rFont val="Tahoma"/>
        <family val="2"/>
      </rPr>
      <t>Fr1(N)</t>
    </r>
    <phoneticPr fontId="4" type="noConversion"/>
  </si>
  <si>
    <r>
      <rPr>
        <b/>
        <sz val="11"/>
        <color rgb="FFFF0000"/>
        <rFont val="宋体"/>
        <family val="3"/>
        <charset val="134"/>
      </rPr>
      <t>右</t>
    </r>
    <r>
      <rPr>
        <b/>
        <sz val="11"/>
        <color theme="1"/>
        <rFont val="宋体"/>
        <family val="3"/>
        <charset val="134"/>
      </rPr>
      <t>轴承径向力</t>
    </r>
    <r>
      <rPr>
        <b/>
        <sz val="11"/>
        <color theme="1"/>
        <rFont val="Tahoma"/>
        <family val="2"/>
      </rPr>
      <t>Fr2(N)</t>
    </r>
    <phoneticPr fontId="4" type="noConversion"/>
  </si>
  <si>
    <t>Fa1=Fa2=Fa</t>
    <phoneticPr fontId="4" type="noConversion"/>
  </si>
  <si>
    <r>
      <rPr>
        <sz val="11"/>
        <color theme="1"/>
        <rFont val="宋体"/>
        <family val="3"/>
        <charset val="134"/>
      </rPr>
      <t>两端为深沟球轴承时</t>
    </r>
    <r>
      <rPr>
        <b/>
        <sz val="11"/>
        <color theme="1"/>
        <rFont val="宋体"/>
        <family val="3"/>
        <charset val="134"/>
      </rPr>
      <t>轴向力</t>
    </r>
    <r>
      <rPr>
        <b/>
        <sz val="11"/>
        <color theme="1"/>
        <rFont val="Tahoma"/>
        <family val="2"/>
      </rPr>
      <t>Fa(N)</t>
    </r>
    <phoneticPr fontId="4" type="noConversion"/>
  </si>
  <si>
    <r>
      <rPr>
        <sz val="11"/>
        <color theme="1"/>
        <rFont val="宋体"/>
        <family val="3"/>
        <charset val="134"/>
      </rPr>
      <t>估算</t>
    </r>
    <r>
      <rPr>
        <sz val="11"/>
        <color theme="1"/>
        <rFont val="Tahoma"/>
        <family val="2"/>
      </rPr>
      <t>e</t>
    </r>
    <r>
      <rPr>
        <sz val="11"/>
        <color theme="1"/>
        <rFont val="宋体"/>
        <family val="3"/>
        <charset val="134"/>
      </rPr>
      <t>值</t>
    </r>
    <r>
      <rPr>
        <sz val="11"/>
        <color theme="1"/>
        <rFont val="Tahoma"/>
        <family val="2"/>
      </rPr>
      <t>(</t>
    </r>
    <r>
      <rPr>
        <sz val="11"/>
        <color theme="1"/>
        <rFont val="宋体"/>
        <family val="3"/>
        <charset val="134"/>
      </rPr>
      <t>首次取</t>
    </r>
    <r>
      <rPr>
        <sz val="11"/>
        <color theme="1"/>
        <rFont val="Tahoma"/>
        <family val="2"/>
      </rPr>
      <t>0.45)</t>
    </r>
    <phoneticPr fontId="4" type="noConversion"/>
  </si>
  <si>
    <r>
      <rPr>
        <sz val="11"/>
        <color theme="1"/>
        <rFont val="宋体"/>
        <family val="3"/>
        <charset val="134"/>
      </rPr>
      <t>估算</t>
    </r>
    <r>
      <rPr>
        <b/>
        <sz val="11"/>
        <color rgb="FFFF0000"/>
        <rFont val="宋体"/>
        <family val="3"/>
        <charset val="134"/>
      </rPr>
      <t>左</t>
    </r>
    <r>
      <rPr>
        <sz val="11"/>
        <color theme="1"/>
        <rFont val="Tahoma"/>
        <family val="2"/>
      </rPr>
      <t>Fd1(N)</t>
    </r>
    <phoneticPr fontId="4" type="noConversion"/>
  </si>
  <si>
    <r>
      <rPr>
        <sz val="11"/>
        <color theme="1"/>
        <rFont val="宋体"/>
        <family val="3"/>
        <charset val="134"/>
      </rPr>
      <t>估算</t>
    </r>
    <r>
      <rPr>
        <b/>
        <sz val="11"/>
        <color rgb="FFFF0000"/>
        <rFont val="宋体"/>
        <family val="3"/>
        <charset val="134"/>
      </rPr>
      <t>右</t>
    </r>
    <r>
      <rPr>
        <sz val="11"/>
        <color theme="1"/>
        <rFont val="Tahoma"/>
        <family val="2"/>
      </rPr>
      <t>Fd2(N)</t>
    </r>
    <phoneticPr fontId="4" type="noConversion"/>
  </si>
  <si>
    <t>在左侧填入数值</t>
    <phoneticPr fontId="4" type="noConversion"/>
  </si>
  <si>
    <t>备注与图示</t>
    <phoneticPr fontId="4" type="noConversion"/>
  </si>
  <si>
    <t>B(α=25°)</t>
    <phoneticPr fontId="4" type="noConversion"/>
  </si>
  <si>
    <r>
      <rPr>
        <sz val="11"/>
        <color theme="1"/>
        <rFont val="宋体"/>
        <family val="3"/>
        <charset val="134"/>
      </rPr>
      <t>角接触球轴承</t>
    </r>
    <r>
      <rPr>
        <sz val="11"/>
        <color theme="1"/>
        <rFont val="Tahoma"/>
        <family val="2"/>
        <charset val="134"/>
      </rPr>
      <t>7000</t>
    </r>
    <r>
      <rPr>
        <sz val="11"/>
        <color theme="1"/>
        <rFont val="宋体"/>
        <family val="3"/>
        <charset val="134"/>
      </rPr>
      <t>系列</t>
    </r>
    <phoneticPr fontId="4" type="noConversion"/>
  </si>
  <si>
    <r>
      <rPr>
        <sz val="10"/>
        <rFont val="宋体"/>
        <family val="3"/>
        <charset val="134"/>
      </rPr>
      <t>说明：此模型广泛应用于齿轮或皮带</t>
    </r>
    <r>
      <rPr>
        <sz val="10"/>
        <rFont val="Tahoma"/>
        <family val="2"/>
      </rPr>
      <t>/</t>
    </r>
    <r>
      <rPr>
        <sz val="10"/>
        <rFont val="宋体"/>
        <family val="3"/>
        <charset val="134"/>
      </rPr>
      <t>链传动。</t>
    </r>
    <r>
      <rPr>
        <sz val="10"/>
        <rFont val="Tahoma"/>
        <family val="2"/>
      </rPr>
      <t>(1)</t>
    </r>
    <r>
      <rPr>
        <sz val="10"/>
        <rFont val="宋体"/>
        <family val="3"/>
        <charset val="134"/>
      </rPr>
      <t>当为直齿轮或皮带</t>
    </r>
    <r>
      <rPr>
        <sz val="10"/>
        <rFont val="Tahoma"/>
        <family val="2"/>
      </rPr>
      <t>/</t>
    </r>
    <r>
      <rPr>
        <sz val="10"/>
        <rFont val="宋体"/>
        <family val="3"/>
        <charset val="134"/>
      </rPr>
      <t>链轮时，</t>
    </r>
    <r>
      <rPr>
        <sz val="10"/>
        <rFont val="Tahoma"/>
        <family val="2"/>
      </rPr>
      <t>Fae=0</t>
    </r>
    <r>
      <rPr>
        <sz val="10"/>
        <rFont val="宋体"/>
        <family val="3"/>
        <charset val="134"/>
      </rPr>
      <t>；</t>
    </r>
    <r>
      <rPr>
        <sz val="10"/>
        <rFont val="Tahoma"/>
        <family val="2"/>
      </rPr>
      <t>(2)</t>
    </r>
    <r>
      <rPr>
        <sz val="10"/>
        <rFont val="宋体"/>
        <family val="3"/>
        <charset val="134"/>
      </rPr>
      <t>当为齿轮传动时，</t>
    </r>
    <r>
      <rPr>
        <sz val="10"/>
        <rFont val="Tahoma"/>
        <family val="2"/>
      </rPr>
      <t>Fre</t>
    </r>
    <r>
      <rPr>
        <sz val="10"/>
        <rFont val="宋体"/>
        <family val="3"/>
        <charset val="134"/>
      </rPr>
      <t>为齿轮的重力；当为皮带轮时，</t>
    </r>
    <r>
      <rPr>
        <sz val="10"/>
        <rFont val="Tahoma"/>
        <family val="2"/>
      </rPr>
      <t>Fre</t>
    </r>
    <r>
      <rPr>
        <sz val="10"/>
        <rFont val="宋体"/>
        <family val="3"/>
        <charset val="134"/>
      </rPr>
      <t>为重力和预紧力的合力；</t>
    </r>
    <r>
      <rPr>
        <sz val="10"/>
        <rFont val="Tahoma"/>
        <family val="2"/>
      </rPr>
      <t>(3)</t>
    </r>
    <r>
      <rPr>
        <sz val="10"/>
        <rFont val="宋体"/>
        <family val="3"/>
        <charset val="134"/>
      </rPr>
      <t>切向力</t>
    </r>
    <r>
      <rPr>
        <sz val="10"/>
        <rFont val="Tahoma"/>
        <family val="2"/>
      </rPr>
      <t>Fte</t>
    </r>
    <r>
      <rPr>
        <sz val="10"/>
        <rFont val="宋体"/>
        <family val="3"/>
        <charset val="134"/>
      </rPr>
      <t>可以通过扭矩</t>
    </r>
    <r>
      <rPr>
        <sz val="10"/>
        <rFont val="Tahoma"/>
        <family val="2"/>
      </rPr>
      <t>T</t>
    </r>
    <r>
      <rPr>
        <sz val="10"/>
        <rFont val="宋体"/>
        <family val="3"/>
        <charset val="134"/>
      </rPr>
      <t>求得，</t>
    </r>
    <r>
      <rPr>
        <sz val="10"/>
        <rFont val="Tahoma"/>
        <family val="2"/>
      </rPr>
      <t>T=F*d/2</t>
    </r>
    <r>
      <rPr>
        <sz val="10"/>
        <rFont val="宋体"/>
        <family val="3"/>
        <charset val="134"/>
      </rPr>
      <t>。</t>
    </r>
    <phoneticPr fontId="4" type="noConversion"/>
  </si>
  <si>
    <t>轴承类型</t>
    <phoneticPr fontId="4" type="noConversion"/>
  </si>
  <si>
    <t>相对轴向载荷</t>
  </si>
  <si>
    <t>Fa/Fr≤e</t>
  </si>
  <si>
    <t>深沟球轴承</t>
  </si>
  <si>
    <t>轴承代号</t>
    <phoneticPr fontId="4" type="noConversion"/>
  </si>
  <si>
    <t>判断系数
e</t>
    <phoneticPr fontId="4" type="noConversion"/>
  </si>
  <si>
    <t>Fa/C0</t>
    <phoneticPr fontId="4" type="noConversion"/>
  </si>
  <si>
    <t>角接触轴承</t>
    <phoneticPr fontId="4" type="noConversion"/>
  </si>
  <si>
    <t>70000C
(α=15°)</t>
    <phoneticPr fontId="4" type="noConversion"/>
  </si>
  <si>
    <t>70000AC(25°)</t>
    <phoneticPr fontId="4" type="noConversion"/>
  </si>
  <si>
    <t>70000B(40°)</t>
    <phoneticPr fontId="4" type="noConversion"/>
  </si>
  <si>
    <t>圆锥滚子轴承</t>
    <phoneticPr fontId="4" type="noConversion"/>
  </si>
  <si>
    <t>查样本</t>
    <phoneticPr fontId="4" type="noConversion"/>
  </si>
  <si>
    <t>查样本Y1</t>
    <phoneticPr fontId="4" type="noConversion"/>
  </si>
  <si>
    <t>调心滚子轴承</t>
    <phoneticPr fontId="4" type="noConversion"/>
  </si>
  <si>
    <t>调心球轴承</t>
    <phoneticPr fontId="4" type="noConversion"/>
  </si>
  <si>
    <r>
      <rPr>
        <sz val="11"/>
        <color theme="1"/>
        <rFont val="宋体"/>
        <family val="3"/>
        <charset val="134"/>
      </rPr>
      <t>说明：</t>
    </r>
    <r>
      <rPr>
        <sz val="11"/>
        <color theme="1"/>
        <rFont val="Tahoma"/>
        <family val="2"/>
      </rPr>
      <t xml:space="preserve"> 
      1</t>
    </r>
    <r>
      <rPr>
        <sz val="11"/>
        <color theme="1"/>
        <rFont val="宋体"/>
        <family val="3"/>
        <charset val="134"/>
      </rPr>
      <t xml:space="preserve">，轴承类型的选择：
</t>
    </r>
    <r>
      <rPr>
        <sz val="11"/>
        <color theme="1"/>
        <rFont val="Tahoma"/>
        <family val="2"/>
      </rPr>
      <t xml:space="preserve">      a </t>
    </r>
    <r>
      <rPr>
        <sz val="11"/>
        <color theme="1"/>
        <rFont val="宋体"/>
        <family val="3"/>
        <charset val="134"/>
      </rPr>
      <t>载荷：滚子轴承用于较大载荷，球轴承用于中轻载荷；纯径向载荷一般用深沟球轴承、圆柱棍子轴承、滚针轴承；纯轴向载荷可选用推力轴承</t>
    </r>
    <r>
      <rPr>
        <sz val="11"/>
        <color theme="1"/>
        <rFont val="Tahoma"/>
        <family val="2"/>
      </rPr>
      <t>(</t>
    </r>
    <r>
      <rPr>
        <sz val="11"/>
        <color theme="1"/>
        <rFont val="宋体"/>
        <family val="3"/>
        <charset val="134"/>
      </rPr>
      <t>较小的纯轴向载荷可选用推力球球轴承，较大的纯轴向载荷可选用推力滚子轴承</t>
    </r>
    <r>
      <rPr>
        <sz val="11"/>
        <color theme="1"/>
        <rFont val="Tahoma"/>
        <family val="2"/>
      </rPr>
      <t>)</t>
    </r>
    <r>
      <rPr>
        <sz val="11"/>
        <color theme="1"/>
        <rFont val="宋体"/>
        <family val="3"/>
        <charset val="134"/>
      </rPr>
      <t>；径向载荷</t>
    </r>
    <r>
      <rPr>
        <sz val="11"/>
        <color theme="1"/>
        <rFont val="Tahoma"/>
        <family val="2"/>
      </rPr>
      <t>+</t>
    </r>
    <r>
      <rPr>
        <sz val="11"/>
        <color theme="1"/>
        <rFont val="宋体"/>
        <family val="3"/>
        <charset val="134"/>
      </rPr>
      <t>不大的轴向载荷可选用深沟球、角接触球</t>
    </r>
    <r>
      <rPr>
        <sz val="11"/>
        <color theme="1"/>
        <rFont val="Tahoma"/>
        <family val="2"/>
      </rPr>
      <t>(70000C\70000AC)</t>
    </r>
    <r>
      <rPr>
        <sz val="11"/>
        <color theme="1"/>
        <rFont val="宋体"/>
        <family val="3"/>
        <charset val="134"/>
      </rPr>
      <t>、圆锥滚子</t>
    </r>
    <r>
      <rPr>
        <sz val="11"/>
        <color theme="1"/>
        <rFont val="Tahoma"/>
        <family val="2"/>
      </rPr>
      <t>(α=10~18°)</t>
    </r>
    <r>
      <rPr>
        <sz val="11"/>
        <color theme="1"/>
        <rFont val="宋体"/>
        <family val="3"/>
        <charset val="134"/>
      </rPr>
      <t>；径向载荷</t>
    </r>
    <r>
      <rPr>
        <sz val="11"/>
        <color theme="1"/>
        <rFont val="Tahoma"/>
        <family val="2"/>
      </rPr>
      <t>+</t>
    </r>
    <r>
      <rPr>
        <sz val="11"/>
        <color theme="1"/>
        <rFont val="宋体"/>
        <family val="3"/>
        <charset val="134"/>
      </rPr>
      <t>较大的轴向载荷可选用角接触球</t>
    </r>
    <r>
      <rPr>
        <sz val="11"/>
        <color theme="1"/>
        <rFont val="Tahoma"/>
        <family val="2"/>
      </rPr>
      <t>(70000AC/70000B)</t>
    </r>
    <r>
      <rPr>
        <sz val="11"/>
        <color theme="1"/>
        <rFont val="宋体"/>
        <family val="3"/>
        <charset val="134"/>
      </rPr>
      <t>、圆锥滚子</t>
    </r>
    <r>
      <rPr>
        <sz val="11"/>
        <color theme="1"/>
        <rFont val="Tahoma"/>
        <family val="2"/>
      </rPr>
      <t>(α=27~30</t>
    </r>
    <r>
      <rPr>
        <sz val="11"/>
        <color theme="1"/>
        <rFont val="宋体"/>
        <family val="3"/>
        <charset val="134"/>
      </rPr>
      <t>°</t>
    </r>
    <r>
      <rPr>
        <sz val="11"/>
        <color theme="1"/>
        <rFont val="Tahoma"/>
        <family val="2"/>
      </rPr>
      <t>)</t>
    </r>
    <r>
      <rPr>
        <sz val="11"/>
        <color theme="1"/>
        <rFont val="宋体"/>
        <family val="3"/>
        <charset val="134"/>
      </rPr>
      <t>、向心轴承</t>
    </r>
    <r>
      <rPr>
        <sz val="11"/>
        <color theme="1"/>
        <rFont val="Tahoma"/>
        <family val="2"/>
      </rPr>
      <t>+</t>
    </r>
    <r>
      <rPr>
        <sz val="11"/>
        <color theme="1"/>
        <rFont val="宋体"/>
        <family val="3"/>
        <charset val="134"/>
      </rPr>
      <t xml:space="preserve">推力轴承组合。
</t>
    </r>
    <r>
      <rPr>
        <sz val="11"/>
        <color theme="1"/>
        <rFont val="Tahoma"/>
        <family val="2"/>
      </rPr>
      <t xml:space="preserve">      b </t>
    </r>
    <r>
      <rPr>
        <sz val="11"/>
        <color theme="1"/>
        <rFont val="宋体"/>
        <family val="3"/>
        <charset val="134"/>
      </rPr>
      <t>转速：样本手册中的极限转速</t>
    </r>
    <r>
      <rPr>
        <sz val="11"/>
        <color theme="1"/>
        <rFont val="Tahoma"/>
        <family val="2"/>
      </rPr>
      <t>Nlim</t>
    </r>
    <r>
      <rPr>
        <sz val="11"/>
        <color theme="1"/>
        <rFont val="宋体"/>
        <family val="3"/>
        <charset val="134"/>
      </rPr>
      <t>为当量动载荷</t>
    </r>
    <r>
      <rPr>
        <sz val="11"/>
        <color theme="1"/>
        <rFont val="Tahoma"/>
        <family val="2"/>
      </rPr>
      <t>P</t>
    </r>
    <r>
      <rPr>
        <sz val="11"/>
        <color theme="1"/>
        <rFont val="宋体"/>
        <family val="3"/>
        <charset val="134"/>
      </rPr>
      <t>≤</t>
    </r>
    <r>
      <rPr>
        <sz val="11"/>
        <color theme="1"/>
        <rFont val="Tahoma"/>
        <family val="2"/>
      </rPr>
      <t>0.1</t>
    </r>
    <r>
      <rPr>
        <sz val="11"/>
        <color theme="1"/>
        <rFont val="宋体"/>
        <family val="3"/>
        <charset val="134"/>
      </rPr>
      <t>额定载荷</t>
    </r>
    <r>
      <rPr>
        <sz val="11"/>
        <color theme="1"/>
        <rFont val="Tahoma"/>
        <family val="2"/>
      </rPr>
      <t>C</t>
    </r>
    <r>
      <rPr>
        <sz val="11"/>
        <color theme="1"/>
        <rFont val="宋体"/>
        <family val="3"/>
        <charset val="134"/>
      </rPr>
      <t>、冷却正常、</t>
    </r>
    <r>
      <rPr>
        <sz val="11"/>
        <color theme="1"/>
        <rFont val="Tahoma"/>
        <family val="2"/>
      </rPr>
      <t>0</t>
    </r>
    <r>
      <rPr>
        <sz val="11"/>
        <color theme="1"/>
        <rFont val="宋体"/>
        <family val="3"/>
        <charset val="134"/>
      </rPr>
      <t xml:space="preserve">级公差时的最大允许转速；若工作转速略超过样本规定极限转速，可采用较高公差等级轴承、或选用较大游隙轴承、采用循环润滑或有无润滑、加强冷却等措施；若工作转速超过样本规定极限转速较多，应选用特制高速滚动轴承。球轴承比滚子轴承有较高的极限转速；内径一定时，外径越小极限转速越高；实体保持架比冲压保持架允许更高转速，特别是青铜实体；推力轴承极限转速都很低，当工作转速高时，若轴向力不十分大，可以用角接触球轴承替代。
</t>
    </r>
    <r>
      <rPr>
        <sz val="11"/>
        <color theme="1"/>
        <rFont val="Tahoma"/>
        <family val="2"/>
      </rPr>
      <t xml:space="preserve">    2</t>
    </r>
    <r>
      <rPr>
        <sz val="11"/>
        <color theme="1"/>
        <rFont val="宋体"/>
        <family val="3"/>
        <charset val="134"/>
      </rPr>
      <t>，轴承的计算准则：
对一般运转的轴承，主要失效形式是疲劳点蚀，应按基本额定动载荷进行寿命计算。对于不转，摆动或转速极低（</t>
    </r>
    <r>
      <rPr>
        <sz val="11"/>
        <color theme="1"/>
        <rFont val="Tahoma"/>
        <family val="2"/>
      </rPr>
      <t>n</t>
    </r>
    <r>
      <rPr>
        <sz val="11"/>
        <color theme="1"/>
        <rFont val="宋体"/>
        <family val="3"/>
        <charset val="134"/>
      </rPr>
      <t>≤</t>
    </r>
    <r>
      <rPr>
        <sz val="11"/>
        <color theme="1"/>
        <rFont val="Tahoma"/>
        <family val="2"/>
      </rPr>
      <t>10 r/min</t>
    </r>
    <r>
      <rPr>
        <sz val="11"/>
        <color theme="1"/>
        <rFont val="宋体"/>
        <family val="3"/>
        <charset val="134"/>
      </rPr>
      <t>）的轴承，主要失效形式是塑性变形，故应按额定静负荷进行强度计算</t>
    </r>
    <r>
      <rPr>
        <sz val="11"/>
        <color theme="1"/>
        <rFont val="Tahoma"/>
        <family val="2"/>
      </rPr>
      <t>(</t>
    </r>
    <r>
      <rPr>
        <sz val="11"/>
        <color theme="1"/>
        <rFont val="宋体"/>
        <family val="3"/>
        <charset val="134"/>
      </rPr>
      <t>不在本软件考虑范围</t>
    </r>
    <r>
      <rPr>
        <sz val="11"/>
        <color theme="1"/>
        <rFont val="Tahoma"/>
        <family val="2"/>
      </rPr>
      <t>)</t>
    </r>
    <r>
      <rPr>
        <sz val="11"/>
        <color theme="1"/>
        <rFont val="宋体"/>
        <family val="3"/>
        <charset val="134"/>
      </rPr>
      <t xml:space="preserve">。
</t>
    </r>
    <r>
      <rPr>
        <sz val="11"/>
        <color theme="1"/>
        <rFont val="Tahoma"/>
        <family val="2"/>
      </rPr>
      <t xml:space="preserve">     </t>
    </r>
    <r>
      <rPr>
        <sz val="11"/>
        <color theme="1"/>
        <rFont val="宋体"/>
        <family val="3"/>
        <charset val="134"/>
      </rPr>
      <t>基本额定寿命：一批同型号轴承工作运转达到已有</t>
    </r>
    <r>
      <rPr>
        <sz val="11"/>
        <color theme="1"/>
        <rFont val="Tahoma"/>
        <family val="2"/>
      </rPr>
      <t>10</t>
    </r>
    <r>
      <rPr>
        <sz val="11"/>
        <color theme="1"/>
        <rFont val="宋体"/>
        <family val="3"/>
        <charset val="134"/>
      </rPr>
      <t>％的轴承出现疲劳点蚀，</t>
    </r>
    <r>
      <rPr>
        <sz val="11"/>
        <color theme="1"/>
        <rFont val="Tahoma"/>
        <family val="2"/>
      </rPr>
      <t>90%</t>
    </r>
    <r>
      <rPr>
        <sz val="11"/>
        <color theme="1"/>
        <rFont val="宋体"/>
        <family val="3"/>
        <charset val="134"/>
      </rPr>
      <t xml:space="preserve">的轴承还能继续工作时的总转数。
</t>
    </r>
    <r>
      <rPr>
        <sz val="11"/>
        <color theme="1"/>
        <rFont val="Tahoma"/>
        <family val="2"/>
      </rPr>
      <t xml:space="preserve">     </t>
    </r>
    <r>
      <rPr>
        <sz val="11"/>
        <color theme="1"/>
        <rFont val="宋体"/>
        <family val="3"/>
        <charset val="134"/>
      </rPr>
      <t>基本额定动载荷：基本额定寿命为一百万转（</t>
    </r>
    <r>
      <rPr>
        <sz val="11"/>
        <color theme="1"/>
        <rFont val="Tahoma"/>
        <family val="2"/>
      </rPr>
      <t>L=10^6</t>
    </r>
    <r>
      <rPr>
        <sz val="11"/>
        <color theme="1"/>
        <rFont val="宋体"/>
        <family val="3"/>
        <charset val="134"/>
      </rPr>
      <t>转）时，轴承所能承受的负荷称为基本额定动负荷</t>
    </r>
    <r>
      <rPr>
        <sz val="11"/>
        <color theme="1"/>
        <rFont val="Tahoma"/>
        <family val="2"/>
      </rPr>
      <t>C</t>
    </r>
    <r>
      <rPr>
        <sz val="11"/>
        <color theme="1"/>
        <rFont val="宋体"/>
        <family val="3"/>
        <charset val="134"/>
      </rPr>
      <t>，单位为牛顿（</t>
    </r>
    <r>
      <rPr>
        <sz val="11"/>
        <color theme="1"/>
        <rFont val="Tahoma"/>
        <family val="2"/>
      </rPr>
      <t>N</t>
    </r>
    <r>
      <rPr>
        <sz val="11"/>
        <color theme="1"/>
        <rFont val="宋体"/>
        <family val="3"/>
        <charset val="134"/>
      </rPr>
      <t>）。</t>
    </r>
    <r>
      <rPr>
        <sz val="11"/>
        <color theme="1"/>
        <rFont val="Tahoma"/>
        <family val="2"/>
      </rPr>
      <t xml:space="preserve">
    3</t>
    </r>
    <r>
      <rPr>
        <sz val="11"/>
        <color theme="1"/>
        <rFont val="宋体"/>
        <family val="3"/>
        <charset val="134"/>
      </rPr>
      <t>，轴承的配置方法：双支点各单向固定；一端双向固定，一端游动</t>
    </r>
    <r>
      <rPr>
        <sz val="11"/>
        <color theme="1"/>
        <rFont val="Tahoma"/>
        <family val="2"/>
      </rPr>
      <t>(</t>
    </r>
    <r>
      <rPr>
        <sz val="11"/>
        <color theme="1"/>
        <rFont val="宋体"/>
        <family val="3"/>
        <charset val="134"/>
      </rPr>
      <t>支撑</t>
    </r>
    <r>
      <rPr>
        <sz val="11"/>
        <color theme="1"/>
        <rFont val="Tahoma"/>
        <family val="2"/>
      </rPr>
      <t>)</t>
    </r>
    <r>
      <rPr>
        <sz val="11"/>
        <color theme="1"/>
        <rFont val="宋体"/>
        <family val="3"/>
        <charset val="134"/>
      </rPr>
      <t>；两端游动</t>
    </r>
    <r>
      <rPr>
        <sz val="11"/>
        <color theme="1"/>
        <rFont val="Tahoma"/>
        <family val="2"/>
      </rPr>
      <t>(</t>
    </r>
    <r>
      <rPr>
        <sz val="11"/>
        <color theme="1"/>
        <rFont val="宋体"/>
        <family val="3"/>
        <charset val="134"/>
      </rPr>
      <t>支撑</t>
    </r>
    <r>
      <rPr>
        <sz val="11"/>
        <color theme="1"/>
        <rFont val="Tahoma"/>
        <family val="2"/>
      </rPr>
      <t>)</t>
    </r>
    <r>
      <rPr>
        <sz val="11"/>
        <color theme="1"/>
        <rFont val="宋体"/>
        <family val="3"/>
        <charset val="134"/>
      </rPr>
      <t>。如右侧附图。</t>
    </r>
    <phoneticPr fontId="4" type="noConversion"/>
  </si>
  <si>
    <r>
      <rPr>
        <sz val="11"/>
        <color theme="1"/>
        <rFont val="宋体"/>
        <family val="3"/>
        <charset val="134"/>
      </rPr>
      <t>附图</t>
    </r>
    <r>
      <rPr>
        <sz val="11"/>
        <color theme="1"/>
        <rFont val="Tahoma"/>
        <family val="2"/>
        <charset val="134"/>
      </rPr>
      <t xml:space="preserve">1 </t>
    </r>
    <r>
      <rPr>
        <sz val="11"/>
        <color theme="1"/>
        <rFont val="宋体"/>
        <family val="3"/>
        <charset val="134"/>
      </rPr>
      <t>双支点各单向固定</t>
    </r>
    <phoneticPr fontId="4" type="noConversion"/>
  </si>
  <si>
    <r>
      <rPr>
        <sz val="11"/>
        <color theme="1"/>
        <rFont val="宋体"/>
        <family val="3"/>
        <charset val="134"/>
      </rPr>
      <t>附图</t>
    </r>
    <r>
      <rPr>
        <sz val="11"/>
        <color theme="1"/>
        <rFont val="Tahoma"/>
        <family val="2"/>
        <charset val="134"/>
      </rPr>
      <t xml:space="preserve">1 </t>
    </r>
    <r>
      <rPr>
        <sz val="11"/>
        <color theme="1"/>
        <rFont val="宋体"/>
        <family val="3"/>
        <charset val="134"/>
      </rPr>
      <t>一端固定一端游动</t>
    </r>
    <phoneticPr fontId="4" type="noConversion"/>
  </si>
  <si>
    <r>
      <rPr>
        <sz val="11"/>
        <color theme="1"/>
        <rFont val="宋体"/>
        <family val="3"/>
        <charset val="134"/>
      </rPr>
      <t>将以上计算的</t>
    </r>
    <r>
      <rPr>
        <sz val="11"/>
        <color theme="1"/>
        <rFont val="Tahoma"/>
        <family val="2"/>
      </rPr>
      <t>Fr</t>
    </r>
    <r>
      <rPr>
        <sz val="11"/>
        <color theme="1"/>
        <rFont val="宋体"/>
        <family val="3"/>
        <charset val="134"/>
      </rPr>
      <t>和</t>
    </r>
    <r>
      <rPr>
        <sz val="11"/>
        <color theme="1"/>
        <rFont val="Tahoma"/>
        <family val="2"/>
      </rPr>
      <t>Fa</t>
    </r>
    <r>
      <rPr>
        <sz val="11"/>
        <color theme="1"/>
        <rFont val="宋体"/>
        <family val="3"/>
        <charset val="134"/>
      </rPr>
      <t>带入下方对应表格计算</t>
    </r>
    <phoneticPr fontId="4" type="noConversion"/>
  </si>
  <si>
    <r>
      <t>其他轴承</t>
    </r>
    <r>
      <rPr>
        <b/>
        <sz val="12"/>
        <color rgb="FF7030A0"/>
        <rFont val="宋体"/>
        <family val="3"/>
        <charset val="134"/>
      </rPr>
      <t>校核计算</t>
    </r>
    <phoneticPr fontId="4" type="noConversion"/>
  </si>
  <si>
    <t>球轴承</t>
  </si>
  <si>
    <t xml:space="preserve">文档信息
编写：图惜
参考：《机械设计——第八版》——蒲良贵、纪名刚
      《机械设计手册——第五版第三卷》——成大先
      《NHK轴承综合样本》                  2018.9.19                                    
</t>
    <phoneticPr fontId="4" type="noConversion"/>
  </si>
  <si>
    <r>
      <t xml:space="preserve">        </t>
    </r>
    <r>
      <rPr>
        <b/>
        <sz val="16"/>
        <color theme="1"/>
        <rFont val="宋体"/>
        <family val="3"/>
        <charset val="134"/>
      </rPr>
      <t>精密双轴滑台气缸选型向导</t>
    </r>
    <r>
      <rPr>
        <b/>
        <sz val="16"/>
        <color theme="1"/>
        <rFont val="Tahoma"/>
        <family val="2"/>
      </rPr>
      <t>(</t>
    </r>
    <r>
      <rPr>
        <b/>
        <sz val="16"/>
        <color theme="1"/>
        <rFont val="宋体"/>
        <family val="3"/>
        <charset val="134"/>
      </rPr>
      <t>以亚德客为例</t>
    </r>
    <r>
      <rPr>
        <b/>
        <sz val="16"/>
        <color theme="1"/>
        <rFont val="Tahoma"/>
        <family val="2"/>
      </rPr>
      <t>)</t>
    </r>
    <phoneticPr fontId="4" type="noConversion"/>
  </si>
  <si>
    <r>
      <t xml:space="preserve">      </t>
    </r>
    <r>
      <rPr>
        <b/>
        <sz val="16"/>
        <color theme="1"/>
        <rFont val="宋体"/>
        <family val="3"/>
        <charset val="134"/>
      </rPr>
      <t>普通滑台气缸选型向导</t>
    </r>
    <r>
      <rPr>
        <b/>
        <sz val="16"/>
        <color theme="1"/>
        <rFont val="Tahoma"/>
        <family val="2"/>
      </rPr>
      <t>(</t>
    </r>
    <r>
      <rPr>
        <b/>
        <sz val="16"/>
        <color theme="1"/>
        <rFont val="宋体"/>
        <family val="3"/>
        <charset val="134"/>
      </rPr>
      <t>以亚德客为例</t>
    </r>
    <r>
      <rPr>
        <b/>
        <sz val="16"/>
        <color theme="1"/>
        <rFont val="Tahoma"/>
        <family val="2"/>
      </rPr>
      <t>)</t>
    </r>
    <phoneticPr fontId="4" type="noConversion"/>
  </si>
  <si>
    <r>
      <t xml:space="preserve">           </t>
    </r>
    <r>
      <rPr>
        <b/>
        <sz val="16"/>
        <color theme="1"/>
        <rFont val="宋体"/>
        <family val="3"/>
        <charset val="134"/>
      </rPr>
      <t>气动手指选型向导</t>
    </r>
    <r>
      <rPr>
        <b/>
        <sz val="16"/>
        <color theme="1"/>
        <rFont val="Tahoma"/>
        <family val="2"/>
      </rPr>
      <t>(</t>
    </r>
    <r>
      <rPr>
        <b/>
        <sz val="16"/>
        <color theme="1"/>
        <rFont val="宋体"/>
        <family val="3"/>
        <charset val="134"/>
      </rPr>
      <t>以亚德客平行导轨为例</t>
    </r>
    <r>
      <rPr>
        <b/>
        <sz val="16"/>
        <color theme="1"/>
        <rFont val="Tahoma"/>
        <family val="2"/>
      </rPr>
      <t>)</t>
    </r>
    <phoneticPr fontId="4" type="noConversion"/>
  </si>
  <si>
    <t xml:space="preserve">      耗气量计算与电磁阀/节流阀/减压阀选用</t>
    <phoneticPr fontId="4" type="noConversion"/>
  </si>
  <si>
    <t xml:space="preserve">    真空吸盘与真空发生器选型向导</t>
    <phoneticPr fontId="4" type="noConversion"/>
  </si>
  <si>
    <t xml:space="preserve">    滚珠丝杆选型向导(以THK丝杆为例)</t>
    <phoneticPr fontId="4" type="noConversion"/>
  </si>
  <si>
    <t xml:space="preserve">    硬度与强度换算</t>
    <phoneticPr fontId="4" type="noConversion"/>
  </si>
  <si>
    <t xml:space="preserve">    反解渐开线函数inv</t>
    <phoneticPr fontId="4" type="noConversion"/>
  </si>
  <si>
    <r>
      <rPr>
        <b/>
        <sz val="16"/>
        <color rgb="FFFF0000"/>
        <rFont val="宋体"/>
        <family val="3"/>
        <charset val="134"/>
      </rPr>
      <t xml:space="preserve">    常见刚体转动惯量</t>
    </r>
    <r>
      <rPr>
        <sz val="16"/>
        <color theme="1"/>
        <rFont val="宋体"/>
        <family val="3"/>
        <charset val="134"/>
      </rPr>
      <t xml:space="preserve">  </t>
    </r>
    <phoneticPr fontId="4" type="noConversion"/>
  </si>
  <si>
    <r>
      <rPr>
        <u/>
        <sz val="11"/>
        <color theme="10"/>
        <rFont val="宋体"/>
        <family val="3"/>
        <charset val="134"/>
      </rPr>
      <t>螺栓螺钉计算</t>
    </r>
  </si>
  <si>
    <r>
      <rPr>
        <u/>
        <sz val="11"/>
        <color theme="10"/>
        <rFont val="宋体"/>
        <family val="3"/>
        <charset val="134"/>
      </rPr>
      <t>弹簧校核计算</t>
    </r>
  </si>
  <si>
    <r>
      <rPr>
        <u/>
        <sz val="11"/>
        <color theme="10"/>
        <rFont val="宋体"/>
        <family val="3"/>
        <charset val="134"/>
      </rPr>
      <t>油压缓冲器选型</t>
    </r>
  </si>
  <si>
    <t>液压缸选型向导</t>
  </si>
  <si>
    <t>液压马达选型向导</t>
  </si>
  <si>
    <t>液压泵选型向导</t>
  </si>
  <si>
    <t>凸轮分割器选型合集</t>
    <phoneticPr fontId="4" type="noConversion"/>
  </si>
  <si>
    <t>刚体与机构转动惯量计算合集</t>
  </si>
  <si>
    <t>步进伺服电机选型合集</t>
    <phoneticPr fontId="4" type="noConversion"/>
  </si>
  <si>
    <t>轴承校核计算合集</t>
    <phoneticPr fontId="4" type="noConversion"/>
  </si>
  <si>
    <t>滚珠丝杆选型向导</t>
    <phoneticPr fontId="4" type="noConversion"/>
  </si>
  <si>
    <r>
      <t>5</t>
    </r>
    <r>
      <rPr>
        <sz val="11"/>
        <color theme="1"/>
        <rFont val="宋体"/>
        <family val="3"/>
        <charset val="134"/>
      </rPr>
      <t>，感谢各位老师，感谢各位师兄大力支持；</t>
    </r>
    <phoneticPr fontId="4" type="noConversion"/>
  </si>
  <si>
    <t xml:space="preserve">编写：图惜
参考：
  《材料力学—第4版》——刘鸿文
  《机械设计手册——第五版》——成大先
  《机械设计——第八版》——蒲良贵、纪名刚
  《英科宇机械工程师设计手——册电子版》
   各非标与标准件厂家的样本
   网校的课程
   网络的各种资料
更新日志：
2018.8.21 完成初稿；
2018.9.19 完成定稿；
                                                  </t>
    <phoneticPr fontId="4" type="noConversion"/>
  </si>
  <si>
    <r>
      <t>3</t>
    </r>
    <r>
      <rPr>
        <sz val="11"/>
        <color theme="1"/>
        <rFont val="宋体"/>
        <family val="3"/>
        <charset val="134"/>
      </rPr>
      <t>，做此文档软件纯属个人爱好，每个文档中的数据、图表、资料都耗费了大</t>
    </r>
    <r>
      <rPr>
        <sz val="11"/>
        <color theme="1"/>
        <rFont val="Tahoma"/>
        <family val="2"/>
        <charset val="134"/>
      </rPr>
      <t xml:space="preserve">    </t>
    </r>
    <phoneticPr fontId="4" type="noConversion"/>
  </si>
  <si>
    <r>
      <t xml:space="preserve">     </t>
    </r>
    <r>
      <rPr>
        <sz val="11"/>
        <color theme="1"/>
        <rFont val="宋体"/>
        <family val="3"/>
        <charset val="134"/>
      </rPr>
      <t>据总要找最新最全的，能找到公式的绝不用图表查询，以保证精确度；</t>
    </r>
    <phoneticPr fontId="4" type="noConversion"/>
  </si>
  <si>
    <r>
      <t xml:space="preserve">     </t>
    </r>
    <r>
      <rPr>
        <sz val="11"/>
        <color theme="1"/>
        <rFont val="宋体"/>
        <family val="3"/>
        <charset val="134"/>
      </rPr>
      <t>量时间和精力从书上和网上进行多次比对核实，图片总要找最清晰的，数</t>
    </r>
    <phoneticPr fontId="4" type="noConversion"/>
  </si>
  <si>
    <t>文档创作说明：</t>
    <phoneticPr fontId="4" type="noConversion"/>
  </si>
  <si>
    <r>
      <t>1</t>
    </r>
    <r>
      <rPr>
        <sz val="11"/>
        <color theme="1"/>
        <rFont val="宋体"/>
        <family val="3"/>
        <charset val="134"/>
      </rPr>
      <t>，此文档包含</t>
    </r>
    <r>
      <rPr>
        <sz val="11"/>
        <color theme="1"/>
        <rFont val="Tahoma"/>
        <family val="2"/>
        <charset val="134"/>
      </rPr>
      <t>34</t>
    </r>
    <r>
      <rPr>
        <sz val="11"/>
        <color theme="1"/>
        <rFont val="宋体"/>
        <family val="3"/>
        <charset val="134"/>
      </rPr>
      <t>个校核、计算与选型软件，全部采用单线向导式布局，以方</t>
    </r>
    <phoneticPr fontId="4" type="noConversion"/>
  </si>
  <si>
    <r>
      <t xml:space="preserve">     </t>
    </r>
    <r>
      <rPr>
        <sz val="11"/>
        <color theme="1"/>
        <rFont val="宋体"/>
        <family val="3"/>
        <charset val="134"/>
      </rPr>
      <t>便使用，所有文档均为图惜原创，原创不易，请不要用于商业目的，谢谢；</t>
    </r>
    <phoneticPr fontId="4" type="noConversion"/>
  </si>
  <si>
    <t>文档使用说明：</t>
    <phoneticPr fontId="4" type="noConversion"/>
  </si>
  <si>
    <r>
      <t>1</t>
    </r>
    <r>
      <rPr>
        <sz val="11"/>
        <color theme="1"/>
        <rFont val="宋体"/>
        <family val="3"/>
        <charset val="134"/>
      </rPr>
      <t>，软件均采用单线向导式布局，左侧为主表，右侧为需要查询的数据库、图表</t>
    </r>
    <r>
      <rPr>
        <sz val="11"/>
        <color theme="1"/>
        <rFont val="Tahoma"/>
        <family val="2"/>
        <charset val="134"/>
      </rPr>
      <t xml:space="preserve">            
     </t>
    </r>
    <r>
      <rPr>
        <sz val="11"/>
        <color theme="1"/>
        <rFont val="宋体"/>
        <family val="3"/>
        <charset val="134"/>
      </rPr>
      <t xml:space="preserve">等在主表中依次从上向下填入所需工况数据，软件将自动计算出所需数据；
</t>
    </r>
    <r>
      <rPr>
        <sz val="11"/>
        <color theme="1"/>
        <rFont val="Tahoma"/>
        <family val="2"/>
        <charset val="134"/>
      </rPr>
      <t>2</t>
    </r>
    <r>
      <rPr>
        <sz val="11"/>
        <color theme="1"/>
        <rFont val="宋体"/>
        <family val="3"/>
        <charset val="134"/>
      </rPr>
      <t xml:space="preserve">，主表中淡蓝底色为不可修改的公式部分，白底色为需要用户填入数据的单元
</t>
    </r>
    <r>
      <rPr>
        <sz val="11"/>
        <color theme="1"/>
        <rFont val="Tahoma"/>
        <family val="2"/>
        <charset val="134"/>
      </rPr>
      <t xml:space="preserve">     </t>
    </r>
    <r>
      <rPr>
        <sz val="11"/>
        <color theme="1"/>
        <rFont val="宋体"/>
        <family val="3"/>
        <charset val="134"/>
      </rPr>
      <t xml:space="preserve">格，粉红底色为需要用户点击打开下拉菜单的单元格；
</t>
    </r>
    <r>
      <rPr>
        <sz val="11"/>
        <color theme="1"/>
        <rFont val="Tahoma"/>
        <family val="2"/>
        <charset val="134"/>
      </rPr>
      <t>3</t>
    </r>
    <r>
      <rPr>
        <sz val="11"/>
        <color theme="1"/>
        <rFont val="宋体"/>
        <family val="3"/>
        <charset val="134"/>
      </rPr>
      <t xml:space="preserve">，每个软件可以通过点击右上角图标返回目录。
</t>
    </r>
    <phoneticPr fontId="4" type="noConversion"/>
  </si>
  <si>
    <t>圆柱齿轮强度校核计算</t>
    <phoneticPr fontId="4" type="noConversion"/>
  </si>
  <si>
    <t>传动轴校核计算合集</t>
    <phoneticPr fontId="4" type="noConversion"/>
  </si>
</sst>
</file>

<file path=xl/styles.xml><?xml version="1.0" encoding="utf-8"?>
<styleSheet xmlns="http://schemas.openxmlformats.org/spreadsheetml/2006/main">
  <numFmts count="15">
    <numFmt numFmtId="176" formatCode="0.000_ "/>
    <numFmt numFmtId="177" formatCode="0.00;[Red]0.00"/>
    <numFmt numFmtId="178" formatCode="#,##0.00;[Red]#,##0.00"/>
    <numFmt numFmtId="179" formatCode="0.00_ "/>
    <numFmt numFmtId="180" formatCode="0.0000;[Red]0.0000"/>
    <numFmt numFmtId="181" formatCode="0.00_);\(0.00\)"/>
    <numFmt numFmtId="182" formatCode="0_ "/>
    <numFmt numFmtId="183" formatCode="0_);\(0\)"/>
    <numFmt numFmtId="184" formatCode="0.0_ "/>
    <numFmt numFmtId="185" formatCode="0.00000_ "/>
    <numFmt numFmtId="186" formatCode="0.0000000000_ "/>
    <numFmt numFmtId="187" formatCode="0.0000000_ "/>
    <numFmt numFmtId="188" formatCode="0.0000_ "/>
    <numFmt numFmtId="189" formatCode="0.0_);[Red]\(0.0\)"/>
    <numFmt numFmtId="190" formatCode="#,##0.00_ "/>
  </numFmts>
  <fonts count="190">
    <font>
      <sz val="11"/>
      <color theme="1"/>
      <name val="Tahoma"/>
      <family val="2"/>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Tahoma"/>
      <family val="2"/>
      <charset val="134"/>
    </font>
    <font>
      <sz val="12"/>
      <name val="宋体"/>
      <family val="3"/>
      <charset val="134"/>
    </font>
    <font>
      <b/>
      <sz val="11"/>
      <color rgb="FFFF0000"/>
      <name val="宋体"/>
      <family val="3"/>
      <charset val="134"/>
      <scheme val="minor"/>
    </font>
    <font>
      <sz val="11"/>
      <color theme="1"/>
      <name val="宋体"/>
      <family val="3"/>
      <charset val="134"/>
      <scheme val="minor"/>
    </font>
    <font>
      <b/>
      <sz val="11"/>
      <color theme="1"/>
      <name val="宋体"/>
      <family val="3"/>
      <charset val="134"/>
      <scheme val="minor"/>
    </font>
    <font>
      <sz val="12"/>
      <name val="宋体"/>
      <family val="3"/>
      <charset val="134"/>
      <scheme val="minor"/>
    </font>
    <font>
      <sz val="11"/>
      <name val="宋体"/>
      <family val="3"/>
      <charset val="134"/>
      <scheme val="minor"/>
    </font>
    <font>
      <b/>
      <sz val="12"/>
      <name val="宋体"/>
      <family val="3"/>
      <charset val="134"/>
      <scheme val="minor"/>
    </font>
    <font>
      <b/>
      <sz val="12"/>
      <color indexed="62"/>
      <name val="宋体"/>
      <family val="3"/>
      <charset val="134"/>
      <scheme val="minor"/>
    </font>
    <font>
      <b/>
      <sz val="12"/>
      <color rgb="FFFF0000"/>
      <name val="宋体"/>
      <family val="3"/>
      <charset val="134"/>
      <scheme val="minor"/>
    </font>
    <font>
      <vertAlign val="superscript"/>
      <sz val="11"/>
      <color theme="1"/>
      <name val="宋体"/>
      <family val="3"/>
      <charset val="134"/>
      <scheme val="minor"/>
    </font>
    <font>
      <b/>
      <sz val="11"/>
      <name val="宋体"/>
      <family val="3"/>
      <charset val="134"/>
      <scheme val="minor"/>
    </font>
    <font>
      <sz val="11"/>
      <color theme="3" tint="0.39997558519241921"/>
      <name val="宋体"/>
      <family val="3"/>
      <charset val="134"/>
      <scheme val="minor"/>
    </font>
    <font>
      <sz val="12"/>
      <color theme="1"/>
      <name val="宋体"/>
      <family val="3"/>
      <charset val="134"/>
      <scheme val="minor"/>
    </font>
    <font>
      <sz val="12"/>
      <color rgb="FFFF0000"/>
      <name val="宋体"/>
      <family val="3"/>
      <charset val="134"/>
      <scheme val="minor"/>
    </font>
    <font>
      <vertAlign val="superscript"/>
      <sz val="12"/>
      <color rgb="FFFF0000"/>
      <name val="宋体"/>
      <family val="3"/>
      <charset val="134"/>
      <scheme val="minor"/>
    </font>
    <font>
      <sz val="12"/>
      <name val="宋体"/>
      <charset val="134"/>
    </font>
    <font>
      <sz val="11"/>
      <color theme="1"/>
      <name val="宋体"/>
      <family val="3"/>
      <charset val="134"/>
    </font>
    <font>
      <sz val="11"/>
      <color rgb="FFFF0000"/>
      <name val="宋体"/>
      <family val="3"/>
      <charset val="134"/>
      <scheme val="minor"/>
    </font>
    <font>
      <vertAlign val="subscript"/>
      <sz val="11"/>
      <color theme="1"/>
      <name val="宋体"/>
      <family val="3"/>
      <charset val="134"/>
      <scheme val="minor"/>
    </font>
    <font>
      <sz val="10"/>
      <color theme="1"/>
      <name val="宋体"/>
      <family val="3"/>
      <charset val="134"/>
      <scheme val="minor"/>
    </font>
    <font>
      <sz val="9"/>
      <color indexed="81"/>
      <name val="Tahoma"/>
      <family val="2"/>
    </font>
    <font>
      <b/>
      <sz val="9"/>
      <color indexed="81"/>
      <name val="Tahoma"/>
      <family val="2"/>
    </font>
    <font>
      <vertAlign val="subscript"/>
      <sz val="14"/>
      <color theme="1"/>
      <name val="宋体"/>
      <family val="3"/>
      <charset val="134"/>
      <scheme val="minor"/>
    </font>
    <font>
      <vertAlign val="superscript"/>
      <sz val="12"/>
      <color theme="1"/>
      <name val="宋体"/>
      <family val="3"/>
      <charset val="134"/>
      <scheme val="minor"/>
    </font>
    <font>
      <b/>
      <sz val="9"/>
      <color indexed="81"/>
      <name val="宋体"/>
      <family val="3"/>
      <charset val="134"/>
    </font>
    <font>
      <sz val="12"/>
      <color indexed="81"/>
      <name val="宋体"/>
      <family val="3"/>
      <charset val="134"/>
    </font>
    <font>
      <sz val="11"/>
      <color indexed="81"/>
      <name val="宋体"/>
      <family val="3"/>
      <charset val="134"/>
    </font>
    <font>
      <sz val="10"/>
      <color indexed="81"/>
      <name val="宋体"/>
      <family val="3"/>
      <charset val="134"/>
    </font>
    <font>
      <sz val="8"/>
      <color theme="1"/>
      <name val="宋体"/>
      <family val="3"/>
      <charset val="134"/>
      <scheme val="minor"/>
    </font>
    <font>
      <sz val="9"/>
      <color theme="1"/>
      <name val="宋体"/>
      <family val="3"/>
      <charset val="134"/>
      <scheme val="minor"/>
    </font>
    <font>
      <vertAlign val="subscript"/>
      <sz val="12"/>
      <color theme="1"/>
      <name val="宋体"/>
      <family val="3"/>
      <charset val="134"/>
      <scheme val="minor"/>
    </font>
    <font>
      <vertAlign val="subscript"/>
      <sz val="14"/>
      <color theme="1"/>
      <name val="Tahoma"/>
      <family val="2"/>
    </font>
    <font>
      <vertAlign val="superscript"/>
      <sz val="12"/>
      <color theme="1"/>
      <name val="Tahoma"/>
      <family val="2"/>
    </font>
    <font>
      <vertAlign val="superscript"/>
      <sz val="10"/>
      <color theme="1"/>
      <name val="宋体"/>
      <family val="3"/>
      <charset val="134"/>
      <scheme val="minor"/>
    </font>
    <font>
      <sz val="14"/>
      <color theme="1"/>
      <name val="宋体"/>
      <family val="3"/>
      <charset val="134"/>
      <scheme val="minor"/>
    </font>
    <font>
      <sz val="11"/>
      <color theme="1"/>
      <name val="宋体"/>
      <family val="3"/>
      <charset val="134"/>
      <scheme val="major"/>
    </font>
    <font>
      <sz val="11"/>
      <color rgb="FF000000"/>
      <name val="宋体"/>
      <family val="3"/>
      <charset val="134"/>
    </font>
    <font>
      <b/>
      <sz val="11"/>
      <color theme="4" tint="-0.249977111117893"/>
      <name val="宋体"/>
      <family val="3"/>
      <charset val="134"/>
      <scheme val="minor"/>
    </font>
    <font>
      <sz val="11"/>
      <color rgb="FFFF0000"/>
      <name val="Tahoma"/>
      <family val="2"/>
      <charset val="134"/>
    </font>
    <font>
      <b/>
      <sz val="16"/>
      <color theme="1"/>
      <name val="宋体"/>
      <family val="3"/>
      <charset val="134"/>
    </font>
    <font>
      <b/>
      <sz val="16"/>
      <color theme="1"/>
      <name val="Tahoma"/>
      <family val="2"/>
      <charset val="134"/>
    </font>
    <font>
      <b/>
      <sz val="11"/>
      <name val="Tahoma"/>
      <family val="2"/>
    </font>
    <font>
      <sz val="11"/>
      <color rgb="FFFF0000"/>
      <name val="宋体"/>
      <family val="3"/>
      <charset val="134"/>
    </font>
    <font>
      <sz val="11"/>
      <color theme="1"/>
      <name val="华文中宋"/>
      <family val="3"/>
      <charset val="134"/>
    </font>
    <font>
      <sz val="18"/>
      <color theme="1"/>
      <name val="Tahoma"/>
      <family val="2"/>
      <charset val="134"/>
    </font>
    <font>
      <sz val="11"/>
      <color rgb="FFFF0000"/>
      <name val="Tahoma"/>
      <family val="2"/>
    </font>
    <font>
      <u/>
      <sz val="11"/>
      <color rgb="FFFF0000"/>
      <name val="Tahoma"/>
      <family val="2"/>
    </font>
    <font>
      <b/>
      <u/>
      <sz val="11"/>
      <color rgb="FFFF0000"/>
      <name val="Tahoma"/>
      <family val="2"/>
    </font>
    <font>
      <b/>
      <u/>
      <sz val="11"/>
      <name val="Tahoma"/>
      <family val="2"/>
    </font>
    <font>
      <b/>
      <u/>
      <sz val="11"/>
      <color theme="1"/>
      <name val="Tahoma"/>
      <family val="2"/>
    </font>
    <font>
      <b/>
      <sz val="11"/>
      <color theme="1"/>
      <name val="Tahoma"/>
      <family val="2"/>
    </font>
    <font>
      <b/>
      <sz val="11"/>
      <color rgb="FFFF0000"/>
      <name val="Tahoma"/>
      <family val="2"/>
    </font>
    <font>
      <i/>
      <sz val="11"/>
      <color theme="1"/>
      <name val="Tahoma"/>
      <family val="2"/>
    </font>
    <font>
      <sz val="11"/>
      <color theme="1"/>
      <name val="Tahoma"/>
      <family val="2"/>
    </font>
    <font>
      <i/>
      <sz val="16"/>
      <name val="宋体"/>
      <family val="3"/>
      <charset val="134"/>
    </font>
    <font>
      <sz val="12"/>
      <color theme="1"/>
      <name val="Tahoma"/>
      <family val="2"/>
    </font>
    <font>
      <i/>
      <sz val="11"/>
      <color rgb="FF00B050"/>
      <name val="Tahoma"/>
      <family val="2"/>
    </font>
    <font>
      <sz val="11"/>
      <color rgb="FF00B050"/>
      <name val="Tahoma"/>
      <family val="2"/>
    </font>
    <font>
      <strike/>
      <sz val="11"/>
      <color theme="1"/>
      <name val="Tahoma"/>
      <family val="2"/>
    </font>
    <font>
      <b/>
      <i/>
      <strike/>
      <sz val="11"/>
      <color theme="1"/>
      <name val="Tahoma"/>
      <family val="2"/>
    </font>
    <font>
      <strike/>
      <sz val="11"/>
      <color rgb="FF00B050"/>
      <name val="Tahoma"/>
      <family val="2"/>
    </font>
    <font>
      <sz val="16"/>
      <color rgb="FFFF0000"/>
      <name val="宋体"/>
      <family val="3"/>
      <charset val="134"/>
    </font>
    <font>
      <u/>
      <sz val="16"/>
      <name val="宋体"/>
      <family val="3"/>
      <charset val="134"/>
    </font>
    <font>
      <sz val="16"/>
      <name val="宋体"/>
      <family val="3"/>
      <charset val="134"/>
    </font>
    <font>
      <b/>
      <sz val="16"/>
      <name val="宋体"/>
      <family val="3"/>
      <charset val="134"/>
    </font>
    <font>
      <sz val="16"/>
      <color rgb="FF00B050"/>
      <name val="宋体"/>
      <family val="3"/>
      <charset val="134"/>
    </font>
    <font>
      <strike/>
      <sz val="16"/>
      <name val="宋体"/>
      <family val="3"/>
      <charset val="134"/>
    </font>
    <font>
      <b/>
      <sz val="12"/>
      <name val="宋体"/>
      <family val="3"/>
      <charset val="134"/>
    </font>
    <font>
      <sz val="10"/>
      <name val="宋体"/>
      <family val="3"/>
      <charset val="134"/>
    </font>
    <font>
      <sz val="12"/>
      <color theme="1"/>
      <name val="宋体"/>
      <family val="3"/>
      <charset val="134"/>
    </font>
    <font>
      <sz val="12"/>
      <color theme="1"/>
      <name val="Times New Roman"/>
      <family val="1"/>
    </font>
    <font>
      <i/>
      <sz val="12"/>
      <color theme="1"/>
      <name val="Times New Roman"/>
      <family val="1"/>
    </font>
    <font>
      <vertAlign val="subscript"/>
      <sz val="12"/>
      <color theme="1"/>
      <name val="Times New Roman"/>
      <family val="1"/>
    </font>
    <font>
      <b/>
      <sz val="16"/>
      <color theme="1"/>
      <name val="Tahoma"/>
      <family val="2"/>
    </font>
    <font>
      <sz val="16"/>
      <color theme="1"/>
      <name val="Tahoma"/>
      <family val="2"/>
    </font>
    <font>
      <sz val="11"/>
      <color theme="1"/>
      <name val="Times New Roman"/>
      <family val="1"/>
    </font>
    <font>
      <sz val="11"/>
      <color theme="1"/>
      <name val="Symbol"/>
      <family val="1"/>
      <charset val="2"/>
    </font>
    <font>
      <sz val="10"/>
      <color theme="1"/>
      <name val="Tahoma"/>
      <family val="2"/>
      <charset val="134"/>
    </font>
    <font>
      <sz val="10"/>
      <color theme="1"/>
      <name val="宋体"/>
      <family val="3"/>
      <charset val="134"/>
    </font>
    <font>
      <sz val="11"/>
      <color rgb="FF0070C0"/>
      <name val="Tahoma"/>
      <family val="2"/>
    </font>
    <font>
      <sz val="11"/>
      <color rgb="FF0070C0"/>
      <name val="宋体"/>
      <family val="3"/>
      <charset val="134"/>
    </font>
    <font>
      <sz val="12"/>
      <color rgb="FFFF0000"/>
      <name val="Tahoma"/>
      <family val="2"/>
    </font>
    <font>
      <sz val="10"/>
      <color theme="1"/>
      <name val="Tahoma"/>
      <family val="2"/>
    </font>
    <font>
      <b/>
      <i/>
      <u/>
      <sz val="11"/>
      <color rgb="FFFF0000"/>
      <name val="Tahoma"/>
      <family val="2"/>
    </font>
    <font>
      <b/>
      <i/>
      <u/>
      <sz val="11"/>
      <color theme="1"/>
      <name val="Tahoma"/>
      <family val="2"/>
    </font>
    <font>
      <b/>
      <i/>
      <u/>
      <sz val="11"/>
      <color rgb="FF00B050"/>
      <name val="Tahoma"/>
      <family val="2"/>
    </font>
    <font>
      <b/>
      <sz val="11"/>
      <color rgb="FF00B050"/>
      <name val="Tahoma"/>
      <family val="2"/>
    </font>
    <font>
      <b/>
      <i/>
      <sz val="11"/>
      <color rgb="FF00B050"/>
      <name val="Tahoma"/>
      <family val="2"/>
    </font>
    <font>
      <b/>
      <i/>
      <strike/>
      <u/>
      <sz val="11"/>
      <color rgb="FF00B050"/>
      <name val="Tahoma"/>
      <family val="2"/>
    </font>
    <font>
      <b/>
      <i/>
      <strike/>
      <sz val="11"/>
      <color rgb="FF00B050"/>
      <name val="Tahoma"/>
      <family val="2"/>
    </font>
    <font>
      <b/>
      <strike/>
      <sz val="11"/>
      <color rgb="FF00B050"/>
      <name val="Tahoma"/>
      <family val="2"/>
    </font>
    <font>
      <i/>
      <strike/>
      <sz val="11"/>
      <color rgb="FF00B050"/>
      <name val="Tahoma"/>
      <family val="2"/>
    </font>
    <font>
      <b/>
      <strike/>
      <u/>
      <sz val="11"/>
      <color rgb="FF00B050"/>
      <name val="Tahoma"/>
      <family val="2"/>
    </font>
    <font>
      <i/>
      <strike/>
      <sz val="11"/>
      <color theme="1"/>
      <name val="Tahoma"/>
      <family val="2"/>
    </font>
    <font>
      <sz val="9"/>
      <color indexed="81"/>
      <name val="宋体"/>
      <family val="3"/>
      <charset val="134"/>
    </font>
    <font>
      <b/>
      <sz val="11"/>
      <color theme="1"/>
      <name val="宋体"/>
      <family val="3"/>
      <charset val="134"/>
    </font>
    <font>
      <sz val="12"/>
      <color theme="1"/>
      <name val="Tahoma"/>
      <family val="2"/>
      <charset val="134"/>
    </font>
    <font>
      <b/>
      <sz val="11"/>
      <color rgb="FFFF0000"/>
      <name val="宋体"/>
      <family val="3"/>
      <charset val="134"/>
    </font>
    <font>
      <vertAlign val="superscript"/>
      <sz val="12"/>
      <color rgb="FF0070C0"/>
      <name val="Tahoma"/>
      <family val="2"/>
    </font>
    <font>
      <sz val="12"/>
      <color indexed="81"/>
      <name val="Tahoma"/>
      <family val="2"/>
    </font>
    <font>
      <sz val="11"/>
      <name val="Tahoma"/>
      <family val="2"/>
    </font>
    <font>
      <sz val="11"/>
      <name val="宋体"/>
      <family val="3"/>
      <charset val="134"/>
    </font>
    <font>
      <vertAlign val="superscript"/>
      <sz val="12"/>
      <name val="Tahoma"/>
      <family val="2"/>
    </font>
    <font>
      <sz val="12"/>
      <name val="Tahoma"/>
      <family val="2"/>
    </font>
    <font>
      <sz val="14"/>
      <color theme="1"/>
      <name val="Tahoma"/>
      <family val="2"/>
      <charset val="134"/>
    </font>
    <font>
      <sz val="11"/>
      <color theme="8" tint="-0.249977111117893"/>
      <name val="Tahoma"/>
      <family val="2"/>
    </font>
    <font>
      <sz val="11"/>
      <color theme="8" tint="-0.249977111117893"/>
      <name val="宋体"/>
      <family val="3"/>
      <charset val="134"/>
    </font>
    <font>
      <sz val="11"/>
      <color theme="1" tint="0.14999847407452621"/>
      <name val="Tahoma"/>
      <family val="2"/>
    </font>
    <font>
      <sz val="11"/>
      <color theme="1" tint="0.14999847407452621"/>
      <name val="宋体"/>
      <family val="3"/>
      <charset val="134"/>
    </font>
    <font>
      <sz val="18"/>
      <color theme="1"/>
      <name val="Tahoma"/>
      <family val="2"/>
    </font>
    <font>
      <sz val="12"/>
      <color rgb="FFFF0000"/>
      <name val="宋体"/>
      <family val="3"/>
      <charset val="134"/>
    </font>
    <font>
      <b/>
      <sz val="11"/>
      <color theme="0"/>
      <name val="宋体"/>
      <family val="3"/>
      <charset val="134"/>
    </font>
    <font>
      <b/>
      <sz val="11"/>
      <color theme="0"/>
      <name val="Tahoma"/>
      <family val="2"/>
    </font>
    <font>
      <b/>
      <sz val="11"/>
      <color theme="0"/>
      <name val="Tahoma"/>
      <family val="2"/>
      <charset val="134"/>
    </font>
    <font>
      <b/>
      <sz val="20"/>
      <color theme="1"/>
      <name val="微软雅黑"/>
      <family val="2"/>
      <charset val="134"/>
    </font>
    <font>
      <sz val="11"/>
      <color theme="1"/>
      <name val="微软雅黑"/>
      <family val="2"/>
      <charset val="134"/>
    </font>
    <font>
      <sz val="11"/>
      <color rgb="FFFF0000"/>
      <name val="微软雅黑"/>
      <family val="2"/>
      <charset val="134"/>
    </font>
    <font>
      <sz val="20"/>
      <color theme="1"/>
      <name val="微软雅黑"/>
      <family val="2"/>
      <charset val="134"/>
    </font>
    <font>
      <sz val="12"/>
      <color theme="1"/>
      <name val="微软雅黑"/>
      <family val="2"/>
      <charset val="134"/>
    </font>
    <font>
      <b/>
      <sz val="12"/>
      <color theme="1"/>
      <name val="微软雅黑"/>
      <family val="2"/>
      <charset val="134"/>
    </font>
    <font>
      <b/>
      <sz val="12"/>
      <color rgb="FFFF0000"/>
      <name val="微软雅黑"/>
      <family val="2"/>
      <charset val="134"/>
    </font>
    <font>
      <vertAlign val="superscript"/>
      <sz val="12"/>
      <color theme="1"/>
      <name val="微软雅黑"/>
      <family val="2"/>
      <charset val="134"/>
    </font>
    <font>
      <sz val="12"/>
      <color rgb="FF333333"/>
      <name val="宋体"/>
      <family val="3"/>
      <charset val="134"/>
    </font>
    <font>
      <sz val="11"/>
      <color rgb="FF00B0F0"/>
      <name val="宋体"/>
      <family val="3"/>
      <charset val="134"/>
    </font>
    <font>
      <sz val="11"/>
      <color rgb="FF00B0F0"/>
      <name val="Tahoma"/>
      <family val="2"/>
    </font>
    <font>
      <sz val="11"/>
      <color theme="9" tint="-0.499984740745262"/>
      <name val="Tahoma"/>
      <family val="2"/>
    </font>
    <font>
      <sz val="11"/>
      <color theme="9" tint="-0.499984740745262"/>
      <name val="宋体"/>
      <family val="3"/>
      <charset val="134"/>
    </font>
    <font>
      <sz val="9"/>
      <color theme="1"/>
      <name val="Tahoma"/>
      <family val="2"/>
    </font>
    <font>
      <b/>
      <sz val="16"/>
      <color theme="1"/>
      <name val="宋体"/>
      <family val="3"/>
      <charset val="134"/>
      <scheme val="minor"/>
    </font>
    <font>
      <u/>
      <sz val="11"/>
      <color theme="10"/>
      <name val="Tahoma"/>
      <family val="2"/>
    </font>
    <font>
      <u/>
      <sz val="11"/>
      <color theme="10"/>
      <name val="宋体"/>
      <family val="3"/>
      <charset val="134"/>
    </font>
    <font>
      <b/>
      <sz val="11"/>
      <color rgb="FF0070C0"/>
      <name val="Tahoma"/>
      <family val="2"/>
    </font>
    <font>
      <sz val="11"/>
      <color theme="0" tint="-0.499984740745262"/>
      <name val="Tahoma"/>
      <family val="2"/>
    </font>
    <font>
      <sz val="11"/>
      <color theme="0" tint="-0.499984740745262"/>
      <name val="宋体"/>
      <family val="3"/>
      <charset val="134"/>
    </font>
    <font>
      <b/>
      <sz val="10.5"/>
      <color rgb="FFFF0000"/>
      <name val="Tahoma"/>
      <family val="2"/>
    </font>
    <font>
      <sz val="10"/>
      <color theme="0" tint="-0.499984740745262"/>
      <name val="宋体"/>
      <family val="3"/>
      <charset val="134"/>
    </font>
    <font>
      <b/>
      <sz val="11"/>
      <color theme="0" tint="-0.499984740745262"/>
      <name val="Tahoma"/>
      <family val="2"/>
    </font>
    <font>
      <sz val="10.5"/>
      <name val="Tahoma"/>
      <family val="2"/>
    </font>
    <font>
      <sz val="10.5"/>
      <name val="宋体"/>
      <family val="3"/>
      <charset val="134"/>
    </font>
    <font>
      <b/>
      <sz val="11"/>
      <name val="宋体"/>
      <family val="3"/>
      <charset val="134"/>
    </font>
    <font>
      <sz val="8"/>
      <color theme="1"/>
      <name val="宋体"/>
      <family val="3"/>
      <charset val="134"/>
    </font>
    <font>
      <sz val="16"/>
      <color theme="1"/>
      <name val="宋体"/>
      <family val="3"/>
      <charset val="134"/>
    </font>
    <font>
      <b/>
      <sz val="16"/>
      <color rgb="FFFF0000"/>
      <name val="宋体"/>
      <family val="3"/>
      <charset val="134"/>
    </font>
    <font>
      <b/>
      <sz val="16"/>
      <color rgb="FFFF0000"/>
      <name val="Tahoma"/>
      <family val="2"/>
    </font>
    <font>
      <sz val="10.5"/>
      <color theme="1"/>
      <name val="宋体"/>
      <family val="3"/>
      <charset val="134"/>
    </font>
    <font>
      <sz val="9"/>
      <color theme="1"/>
      <name val="宋体"/>
      <family val="3"/>
      <charset val="134"/>
    </font>
    <font>
      <vertAlign val="superscript"/>
      <sz val="14"/>
      <color theme="1"/>
      <name val="微软雅黑"/>
      <family val="2"/>
      <charset val="134"/>
    </font>
    <font>
      <sz val="10.5"/>
      <color theme="9" tint="-0.249977111117893"/>
      <name val="宋体"/>
      <family val="3"/>
      <charset val="134"/>
    </font>
    <font>
      <sz val="11"/>
      <color theme="9" tint="-0.249977111117893"/>
      <name val="宋体"/>
      <family val="3"/>
      <charset val="134"/>
    </font>
    <font>
      <u/>
      <sz val="11"/>
      <color rgb="FF0000FF"/>
      <name val="宋体"/>
      <family val="3"/>
      <charset val="134"/>
      <scheme val="minor"/>
    </font>
    <font>
      <sz val="12"/>
      <color rgb="FF0070C0"/>
      <name val="宋体"/>
      <family val="3"/>
      <charset val="134"/>
    </font>
    <font>
      <vertAlign val="superscript"/>
      <sz val="12"/>
      <color theme="1"/>
      <name val="宋体"/>
      <family val="3"/>
      <charset val="134"/>
    </font>
    <font>
      <vertAlign val="superscript"/>
      <sz val="11"/>
      <color theme="1"/>
      <name val="宋体"/>
      <family val="3"/>
      <charset val="134"/>
    </font>
    <font>
      <sz val="9"/>
      <name val="宋体"/>
      <family val="3"/>
      <charset val="134"/>
    </font>
    <font>
      <vertAlign val="subscript"/>
      <sz val="14"/>
      <name val="Tahoma"/>
      <family val="2"/>
    </font>
    <font>
      <b/>
      <sz val="10"/>
      <color rgb="FFFF0000"/>
      <name val="Tahoma"/>
      <family val="2"/>
    </font>
    <font>
      <sz val="10.5"/>
      <color theme="1"/>
      <name val="Tahoma"/>
      <family val="2"/>
    </font>
    <font>
      <sz val="20"/>
      <color rgb="FFFFCC00"/>
      <name val="Wingdings"/>
      <charset val="2"/>
    </font>
    <font>
      <b/>
      <sz val="11"/>
      <color theme="3" tint="0.39997558519241921"/>
      <name val="宋体"/>
      <family val="3"/>
      <charset val="134"/>
    </font>
    <font>
      <b/>
      <sz val="14"/>
      <color rgb="FFFF0000"/>
      <name val="宋体"/>
      <family val="3"/>
      <charset val="134"/>
    </font>
    <font>
      <sz val="16"/>
      <color theme="1"/>
      <name val="宋体"/>
      <family val="3"/>
      <charset val="134"/>
      <scheme val="minor"/>
    </font>
    <font>
      <b/>
      <sz val="14"/>
      <color rgb="FFFF0000"/>
      <name val="Tahoma"/>
      <family val="2"/>
    </font>
    <font>
      <sz val="14"/>
      <color rgb="FFFF0000"/>
      <name val="宋体"/>
      <family val="3"/>
      <charset val="134"/>
    </font>
    <font>
      <sz val="14"/>
      <color rgb="FFFF0000"/>
      <name val="Tahoma"/>
      <family val="2"/>
      <charset val="134"/>
    </font>
    <font>
      <sz val="10.5"/>
      <color theme="1"/>
      <name val="Tahoma"/>
      <family val="2"/>
      <charset val="134"/>
    </font>
    <font>
      <sz val="16"/>
      <color theme="1"/>
      <name val="Tahoma"/>
      <family val="2"/>
      <charset val="134"/>
    </font>
    <font>
      <sz val="14"/>
      <color theme="1"/>
      <name val="宋体"/>
      <family val="3"/>
      <charset val="134"/>
    </font>
    <font>
      <sz val="11"/>
      <name val="Tahoma"/>
      <family val="2"/>
      <charset val="134"/>
    </font>
    <font>
      <b/>
      <sz val="11"/>
      <color theme="1"/>
      <name val="Tahoma"/>
      <family val="2"/>
      <charset val="134"/>
    </font>
    <font>
      <sz val="12"/>
      <name val="MS Mincho"/>
      <family val="3"/>
    </font>
    <font>
      <sz val="11"/>
      <name val="Arial"/>
      <family val="2"/>
    </font>
    <font>
      <sz val="10"/>
      <name val="Arial"/>
      <family val="2"/>
    </font>
    <font>
      <sz val="11"/>
      <name val="MS Mincho"/>
      <family val="3"/>
      <charset val="128"/>
    </font>
    <font>
      <vertAlign val="subscript"/>
      <sz val="14"/>
      <color theme="1"/>
      <name val="宋体"/>
      <family val="3"/>
      <charset val="134"/>
    </font>
    <font>
      <b/>
      <sz val="12"/>
      <color rgb="FFFF0000"/>
      <name val="宋体"/>
      <family val="3"/>
      <charset val="134"/>
    </font>
    <font>
      <sz val="11"/>
      <color theme="1"/>
      <name val="宋体"/>
      <family val="2"/>
      <scheme val="minor"/>
    </font>
    <font>
      <u/>
      <sz val="11"/>
      <color theme="10"/>
      <name val="宋体"/>
      <family val="2"/>
      <scheme val="minor"/>
    </font>
    <font>
      <i/>
      <sz val="10.5"/>
      <color theme="1"/>
      <name val="仿宋"/>
      <family val="3"/>
      <charset val="134"/>
    </font>
    <font>
      <i/>
      <sz val="10.5"/>
      <color theme="1"/>
      <name val="Tahoma"/>
      <family val="2"/>
      <charset val="134"/>
    </font>
    <font>
      <b/>
      <sz val="12"/>
      <color rgb="FF7030A0"/>
      <name val="宋体"/>
      <family val="3"/>
      <charset val="134"/>
    </font>
    <font>
      <b/>
      <sz val="11"/>
      <color rgb="FF92D050"/>
      <name val="Tahoma"/>
      <family val="2"/>
    </font>
    <font>
      <sz val="10"/>
      <name val="Tahoma"/>
      <family val="2"/>
    </font>
    <font>
      <b/>
      <sz val="11"/>
      <color theme="1"/>
      <name val="微软雅黑"/>
      <family val="2"/>
      <charset val="134"/>
    </font>
    <font>
      <b/>
      <sz val="13.5"/>
      <color theme="1"/>
      <name val="宋体"/>
      <family val="3"/>
      <charset val="134"/>
    </font>
    <font>
      <sz val="13.5"/>
      <color theme="1"/>
      <name val="Tahoma"/>
      <family val="2"/>
    </font>
  </fonts>
  <fills count="15">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lightDown"/>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rgb="FFFFFF00"/>
        <bgColor indexed="64"/>
      </patternFill>
    </fill>
    <fill>
      <patternFill patternType="solid">
        <fgColor rgb="FF92D05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bottom style="thin">
        <color indexed="8"/>
      </bottom>
      <diagonal/>
    </border>
    <border>
      <left style="thin">
        <color indexed="8"/>
      </left>
      <right style="medium">
        <color indexed="64"/>
      </right>
      <top style="thin">
        <color indexed="8"/>
      </top>
      <bottom/>
      <diagonal/>
    </border>
    <border>
      <left style="medium">
        <color indexed="64"/>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bottom/>
      <diagonal/>
    </border>
    <border>
      <left style="medium">
        <color indexed="64"/>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s>
  <cellStyleXfs count="11">
    <xf numFmtId="0" fontId="0" fillId="0" borderId="0"/>
    <xf numFmtId="0" fontId="5" fillId="0" borderId="0"/>
    <xf numFmtId="0" fontId="20" fillId="0" borderId="0">
      <alignment vertical="center"/>
    </xf>
    <xf numFmtId="0" fontId="5" fillId="0" borderId="0">
      <alignment vertical="center"/>
    </xf>
    <xf numFmtId="0" fontId="3" fillId="0" borderId="0">
      <alignment vertical="center"/>
    </xf>
    <xf numFmtId="0" fontId="134" fillId="0" borderId="0" applyNumberFormat="0" applyFill="0" applyBorder="0" applyAlignment="0" applyProtection="0">
      <alignment vertical="top"/>
      <protection locked="0"/>
    </xf>
    <xf numFmtId="0" fontId="154" fillId="0" borderId="0" applyNumberFormat="0" applyFill="0" applyBorder="0" applyAlignment="0" applyProtection="0">
      <alignment vertical="center"/>
    </xf>
    <xf numFmtId="0" fontId="2" fillId="0" borderId="0">
      <alignment vertical="center"/>
    </xf>
    <xf numFmtId="0" fontId="174" fillId="0" borderId="0"/>
    <xf numFmtId="0" fontId="180" fillId="0" borderId="0"/>
    <xf numFmtId="0" fontId="181" fillId="0" borderId="0" applyNumberFormat="0" applyFill="0" applyBorder="0" applyAlignment="0" applyProtection="0"/>
  </cellStyleXfs>
  <cellXfs count="1405">
    <xf numFmtId="0" fontId="0" fillId="0" borderId="0" xfId="0"/>
    <xf numFmtId="0" fontId="11" fillId="2" borderId="1" xfId="1" applyFont="1" applyFill="1" applyBorder="1" applyAlignment="1" applyProtection="1">
      <alignment horizontal="left"/>
    </xf>
    <xf numFmtId="177" fontId="11" fillId="2" borderId="1" xfId="1" applyNumberFormat="1" applyFont="1" applyFill="1" applyBorder="1" applyAlignment="1" applyProtection="1">
      <alignment horizontal="left"/>
    </xf>
    <xf numFmtId="177" fontId="15" fillId="2" borderId="1" xfId="1" applyNumberFormat="1" applyFont="1" applyFill="1" applyBorder="1" applyAlignment="1" applyProtection="1">
      <alignment horizontal="left"/>
    </xf>
    <xf numFmtId="0" fontId="9" fillId="3" borderId="1" xfId="1" applyFont="1" applyFill="1" applyBorder="1" applyAlignment="1" applyProtection="1">
      <alignment horizontal="left"/>
    </xf>
    <xf numFmtId="0" fontId="16" fillId="3" borderId="1" xfId="0" applyFont="1" applyFill="1" applyBorder="1" applyAlignment="1" applyProtection="1">
      <alignment horizontal="left"/>
    </xf>
    <xf numFmtId="0" fontId="9" fillId="0" borderId="1" xfId="1" applyFont="1" applyBorder="1" applyAlignment="1" applyProtection="1">
      <alignment horizontal="left"/>
      <protection locked="0"/>
    </xf>
    <xf numFmtId="0" fontId="9" fillId="2" borderId="1" xfId="1" applyFont="1" applyFill="1" applyBorder="1" applyAlignment="1" applyProtection="1">
      <alignment horizontal="left"/>
    </xf>
    <xf numFmtId="177" fontId="7" fillId="2" borderId="1" xfId="0" applyNumberFormat="1" applyFont="1" applyFill="1" applyBorder="1" applyAlignment="1" applyProtection="1">
      <alignment horizontal="left"/>
    </xf>
    <xf numFmtId="177" fontId="9" fillId="2" borderId="1" xfId="1" applyNumberFormat="1" applyFont="1" applyFill="1" applyBorder="1" applyAlignment="1" applyProtection="1">
      <alignment horizontal="left"/>
    </xf>
    <xf numFmtId="2" fontId="9" fillId="2" borderId="1" xfId="1" applyNumberFormat="1" applyFont="1" applyFill="1" applyBorder="1" applyAlignment="1" applyProtection="1">
      <alignment horizontal="left"/>
    </xf>
    <xf numFmtId="0" fontId="7" fillId="2" borderId="3" xfId="0" applyFont="1" applyFill="1" applyBorder="1" applyAlignment="1" applyProtection="1">
      <alignment horizontal="left"/>
    </xf>
    <xf numFmtId="0" fontId="7" fillId="2" borderId="4" xfId="0" applyFont="1" applyFill="1" applyBorder="1" applyAlignment="1" applyProtection="1">
      <alignment horizontal="left"/>
    </xf>
    <xf numFmtId="0" fontId="7" fillId="4" borderId="1" xfId="0" applyFont="1" applyFill="1" applyBorder="1" applyAlignment="1" applyProtection="1">
      <alignment horizontal="left"/>
      <protection locked="0"/>
    </xf>
    <xf numFmtId="0" fontId="7" fillId="4" borderId="1" xfId="0" applyFont="1" applyFill="1" applyBorder="1" applyProtection="1"/>
    <xf numFmtId="11" fontId="7" fillId="4" borderId="1" xfId="0" applyNumberFormat="1" applyFont="1" applyFill="1" applyBorder="1" applyAlignment="1" applyProtection="1">
      <alignment horizontal="left"/>
    </xf>
    <xf numFmtId="0" fontId="24" fillId="4" borderId="1" xfId="0" applyFont="1" applyFill="1" applyBorder="1" applyAlignment="1" applyProtection="1">
      <alignment horizontal="left"/>
    </xf>
    <xf numFmtId="178" fontId="6" fillId="4" borderId="1" xfId="0" applyNumberFormat="1" applyFont="1" applyFill="1" applyBorder="1" applyAlignment="1" applyProtection="1">
      <alignment horizontal="left"/>
    </xf>
    <xf numFmtId="177" fontId="8" fillId="4" borderId="1" xfId="0" applyNumberFormat="1" applyFont="1" applyFill="1" applyBorder="1" applyAlignment="1" applyProtection="1">
      <alignment horizontal="left"/>
    </xf>
    <xf numFmtId="178" fontId="8" fillId="4" borderId="1" xfId="0" applyNumberFormat="1" applyFont="1" applyFill="1" applyBorder="1" applyAlignment="1" applyProtection="1">
      <alignment horizontal="left"/>
    </xf>
    <xf numFmtId="177" fontId="7" fillId="4" borderId="1" xfId="0" applyNumberFormat="1" applyFont="1" applyFill="1" applyBorder="1" applyAlignment="1" applyProtection="1">
      <alignment horizontal="left"/>
    </xf>
    <xf numFmtId="0" fontId="7" fillId="4" borderId="6" xfId="0" applyFont="1" applyFill="1" applyBorder="1" applyAlignment="1" applyProtection="1">
      <alignment horizontal="center" vertical="center" wrapText="1"/>
    </xf>
    <xf numFmtId="0" fontId="7" fillId="4" borderId="1" xfId="0" applyFont="1" applyFill="1" applyBorder="1" applyAlignment="1" applyProtection="1"/>
    <xf numFmtId="0" fontId="7" fillId="4" borderId="1" xfId="0" applyFont="1" applyFill="1" applyBorder="1" applyAlignment="1" applyProtection="1">
      <alignment horizontal="left" wrapText="1"/>
    </xf>
    <xf numFmtId="0" fontId="7" fillId="0" borderId="0" xfId="0" applyFont="1" applyAlignment="1" applyProtection="1">
      <alignment horizontal="left"/>
    </xf>
    <xf numFmtId="0" fontId="7" fillId="0" borderId="0" xfId="0" applyFont="1" applyProtection="1"/>
    <xf numFmtId="0" fontId="7" fillId="0" borderId="1" xfId="0" applyFont="1" applyBorder="1" applyProtection="1"/>
    <xf numFmtId="0" fontId="7" fillId="0" borderId="6" xfId="0" applyFont="1" applyBorder="1" applyAlignment="1" applyProtection="1">
      <alignment wrapText="1"/>
    </xf>
    <xf numFmtId="0" fontId="7" fillId="0" borderId="6" xfId="0" applyFont="1" applyBorder="1" applyAlignment="1" applyProtection="1">
      <alignment vertical="top" wrapText="1"/>
    </xf>
    <xf numFmtId="0" fontId="7" fillId="0" borderId="0" xfId="0" applyFont="1" applyBorder="1" applyProtection="1"/>
    <xf numFmtId="0" fontId="7" fillId="0" borderId="9" xfId="0" applyFont="1" applyBorder="1" applyProtection="1"/>
    <xf numFmtId="0" fontId="7" fillId="0" borderId="11" xfId="0" applyFont="1" applyBorder="1" applyProtection="1"/>
    <xf numFmtId="0" fontId="7" fillId="0" borderId="14" xfId="0" applyFont="1" applyBorder="1" applyProtection="1"/>
    <xf numFmtId="0" fontId="7" fillId="0" borderId="7" xfId="0" applyFont="1" applyBorder="1" applyProtection="1"/>
    <xf numFmtId="0" fontId="7" fillId="0" borderId="10" xfId="0" applyFont="1" applyBorder="1" applyProtection="1"/>
    <xf numFmtId="0" fontId="7" fillId="0" borderId="12" xfId="0" applyFont="1" applyBorder="1" applyProtection="1"/>
    <xf numFmtId="0" fontId="8" fillId="4" borderId="1" xfId="0" applyFont="1" applyFill="1" applyBorder="1" applyAlignment="1" applyProtection="1">
      <alignment horizontal="center"/>
    </xf>
    <xf numFmtId="0" fontId="8" fillId="0" borderId="0" xfId="0" applyFont="1" applyProtection="1"/>
    <xf numFmtId="0" fontId="8" fillId="4" borderId="1" xfId="0" applyFont="1" applyFill="1" applyBorder="1" applyProtection="1"/>
    <xf numFmtId="0" fontId="7" fillId="4" borderId="7" xfId="0" applyFont="1" applyFill="1" applyBorder="1" applyAlignment="1" applyProtection="1">
      <alignment horizontal="left"/>
    </xf>
    <xf numFmtId="0" fontId="7" fillId="0" borderId="8" xfId="0" applyFont="1" applyBorder="1" applyAlignment="1" applyProtection="1">
      <alignment horizontal="left"/>
    </xf>
    <xf numFmtId="0" fontId="7" fillId="0" borderId="9" xfId="0" applyFont="1" applyBorder="1" applyAlignment="1" applyProtection="1">
      <alignment horizontal="left"/>
    </xf>
    <xf numFmtId="0" fontId="7" fillId="4" borderId="10" xfId="0" applyFont="1" applyFill="1" applyBorder="1" applyAlignment="1" applyProtection="1">
      <alignment horizontal="left"/>
    </xf>
    <xf numFmtId="0" fontId="7" fillId="0" borderId="11" xfId="0" applyFont="1" applyBorder="1" applyAlignment="1" applyProtection="1">
      <alignment horizontal="left"/>
    </xf>
    <xf numFmtId="0" fontId="7" fillId="4" borderId="12" xfId="0" applyFont="1" applyFill="1" applyBorder="1" applyAlignment="1" applyProtection="1">
      <alignment horizontal="left"/>
    </xf>
    <xf numFmtId="0" fontId="7" fillId="0" borderId="13" xfId="0" applyFont="1" applyBorder="1" applyAlignment="1" applyProtection="1">
      <alignment horizontal="left"/>
    </xf>
    <xf numFmtId="0" fontId="7" fillId="0" borderId="14" xfId="0" applyFont="1" applyBorder="1" applyAlignment="1" applyProtection="1">
      <alignment horizontal="left"/>
    </xf>
    <xf numFmtId="0" fontId="7" fillId="0" borderId="4" xfId="0" applyFont="1" applyBorder="1" applyAlignment="1" applyProtection="1">
      <alignment horizontal="left"/>
    </xf>
    <xf numFmtId="0" fontId="7" fillId="0" borderId="5" xfId="0" applyFont="1" applyBorder="1" applyAlignment="1" applyProtection="1">
      <alignment vertical="center" wrapText="1"/>
    </xf>
    <xf numFmtId="0" fontId="7" fillId="0" borderId="18" xfId="0" applyFont="1" applyBorder="1" applyAlignment="1" applyProtection="1">
      <alignment wrapText="1"/>
    </xf>
    <xf numFmtId="0" fontId="0" fillId="0" borderId="0" xfId="0" applyBorder="1" applyAlignment="1">
      <alignment vertical="center"/>
    </xf>
    <xf numFmtId="0" fontId="7" fillId="0" borderId="0" xfId="0" applyFont="1" applyBorder="1" applyAlignment="1" applyProtection="1">
      <alignment horizontal="left"/>
    </xf>
    <xf numFmtId="0" fontId="17" fillId="0" borderId="0" xfId="0" applyFont="1" applyAlignment="1" applyProtection="1">
      <alignment horizontal="center"/>
    </xf>
    <xf numFmtId="179" fontId="7" fillId="0" borderId="1" xfId="0" applyNumberFormat="1" applyFont="1" applyBorder="1" applyAlignment="1" applyProtection="1">
      <alignment horizontal="left"/>
    </xf>
    <xf numFmtId="179" fontId="7" fillId="0" borderId="11" xfId="0" applyNumberFormat="1" applyFont="1" applyBorder="1" applyAlignment="1" applyProtection="1">
      <alignment horizontal="left"/>
    </xf>
    <xf numFmtId="179" fontId="7" fillId="0" borderId="13" xfId="0" applyNumberFormat="1" applyFont="1" applyBorder="1" applyAlignment="1" applyProtection="1">
      <alignment horizontal="left"/>
    </xf>
    <xf numFmtId="179" fontId="7" fillId="0" borderId="14" xfId="0" applyNumberFormat="1" applyFont="1" applyBorder="1" applyAlignment="1" applyProtection="1">
      <alignment horizontal="left"/>
    </xf>
    <xf numFmtId="0" fontId="33" fillId="0" borderId="0" xfId="0" applyFont="1" applyAlignment="1" applyProtection="1">
      <alignment horizontal="left" vertical="center" wrapText="1"/>
    </xf>
    <xf numFmtId="0" fontId="7" fillId="6" borderId="0" xfId="0" applyFont="1" applyFill="1" applyAlignment="1" applyProtection="1">
      <alignment horizontal="left" vertical="top" wrapText="1"/>
    </xf>
    <xf numFmtId="0" fontId="7" fillId="6" borderId="0" xfId="0" applyFont="1" applyFill="1" applyProtection="1"/>
    <xf numFmtId="0" fontId="7" fillId="0" borderId="17" xfId="0" applyFont="1" applyBorder="1" applyAlignment="1" applyProtection="1">
      <alignment horizontal="left" vertical="center" wrapText="1"/>
    </xf>
    <xf numFmtId="0" fontId="7" fillId="4" borderId="1" xfId="0" applyFont="1" applyFill="1" applyBorder="1" applyAlignment="1" applyProtection="1">
      <alignment horizontal="center"/>
    </xf>
    <xf numFmtId="0" fontId="7" fillId="0" borderId="7" xfId="0" applyFont="1" applyBorder="1" applyAlignment="1" applyProtection="1">
      <alignment horizontal="left"/>
    </xf>
    <xf numFmtId="0" fontId="7" fillId="0" borderId="10" xfId="0" applyFont="1" applyBorder="1" applyAlignment="1" applyProtection="1">
      <alignment horizontal="left"/>
    </xf>
    <xf numFmtId="0" fontId="7" fillId="0" borderId="12" xfId="0" applyFont="1" applyBorder="1" applyAlignment="1" applyProtection="1">
      <alignment horizontal="left"/>
    </xf>
    <xf numFmtId="179" fontId="7" fillId="4" borderId="1" xfId="0" applyNumberFormat="1" applyFont="1" applyFill="1" applyBorder="1" applyAlignment="1" applyProtection="1">
      <alignment horizontal="center"/>
    </xf>
    <xf numFmtId="11" fontId="7" fillId="4" borderId="1" xfId="0" applyNumberFormat="1" applyFont="1" applyFill="1" applyBorder="1" applyAlignment="1" applyProtection="1">
      <alignment horizontal="center"/>
    </xf>
    <xf numFmtId="0" fontId="34" fillId="4" borderId="1" xfId="0" applyFont="1" applyFill="1" applyBorder="1" applyAlignment="1" applyProtection="1">
      <alignment horizontal="left"/>
    </xf>
    <xf numFmtId="0" fontId="6" fillId="4" borderId="3" xfId="0" applyFont="1" applyFill="1" applyBorder="1" applyAlignment="1" applyProtection="1">
      <alignment horizontal="right"/>
    </xf>
    <xf numFmtId="0" fontId="6" fillId="4" borderId="4" xfId="0" applyFont="1" applyFill="1" applyBorder="1" applyAlignment="1" applyProtection="1">
      <alignment horizontal="left"/>
    </xf>
    <xf numFmtId="180" fontId="7" fillId="4" borderId="1" xfId="0" applyNumberFormat="1" applyFont="1" applyFill="1" applyBorder="1" applyAlignment="1" applyProtection="1">
      <alignment horizontal="center"/>
    </xf>
    <xf numFmtId="176" fontId="7" fillId="4" borderId="1" xfId="0" applyNumberFormat="1" applyFont="1" applyFill="1" applyBorder="1" applyAlignment="1" applyProtection="1">
      <alignment horizontal="center"/>
    </xf>
    <xf numFmtId="179" fontId="7" fillId="4" borderId="1" xfId="0" applyNumberFormat="1" applyFont="1" applyFill="1" applyBorder="1" applyAlignment="1" applyProtection="1">
      <alignment horizontal="left"/>
    </xf>
    <xf numFmtId="0" fontId="7" fillId="5" borderId="1" xfId="0" applyFont="1" applyFill="1" applyBorder="1" applyAlignment="1" applyProtection="1">
      <alignment horizontal="center"/>
      <protection locked="0"/>
    </xf>
    <xf numFmtId="0" fontId="7" fillId="0" borderId="0" xfId="0" applyFont="1" applyAlignment="1" applyProtection="1">
      <alignment horizontal="center"/>
      <protection locked="0"/>
    </xf>
    <xf numFmtId="0" fontId="7" fillId="0" borderId="1" xfId="0" applyFont="1" applyBorder="1" applyAlignment="1" applyProtection="1">
      <alignment wrapText="1"/>
    </xf>
    <xf numFmtId="0" fontId="7" fillId="0" borderId="1" xfId="0" applyFont="1" applyBorder="1" applyAlignment="1" applyProtection="1"/>
    <xf numFmtId="0" fontId="7" fillId="0" borderId="1" xfId="0" applyFont="1" applyBorder="1" applyAlignment="1" applyProtection="1">
      <alignment vertical="center" wrapText="1"/>
    </xf>
    <xf numFmtId="181" fontId="7" fillId="0" borderId="1" xfId="0" applyNumberFormat="1" applyFont="1" applyBorder="1" applyAlignment="1" applyProtection="1">
      <alignment horizontal="center"/>
      <protection locked="0"/>
    </xf>
    <xf numFmtId="0" fontId="7" fillId="0" borderId="0" xfId="0" applyFont="1" applyBorder="1" applyAlignment="1" applyProtection="1">
      <protection locked="0"/>
    </xf>
    <xf numFmtId="0" fontId="7" fillId="4" borderId="5" xfId="0" applyFont="1" applyFill="1" applyBorder="1" applyAlignment="1" applyProtection="1">
      <alignment horizontal="left"/>
    </xf>
    <xf numFmtId="0" fontId="6" fillId="4" borderId="15" xfId="0" applyFont="1" applyFill="1" applyBorder="1" applyAlignment="1" applyProtection="1">
      <alignment horizontal="right"/>
    </xf>
    <xf numFmtId="0" fontId="7" fillId="4" borderId="3" xfId="0" applyFont="1" applyFill="1" applyBorder="1" applyAlignment="1" applyProtection="1"/>
    <xf numFmtId="0" fontId="7" fillId="4" borderId="4" xfId="0" applyFont="1" applyFill="1" applyBorder="1" applyAlignment="1" applyProtection="1"/>
    <xf numFmtId="0" fontId="0" fillId="0" borderId="0" xfId="0" applyBorder="1" applyAlignment="1"/>
    <xf numFmtId="0" fontId="7" fillId="0" borderId="1" xfId="0" applyFont="1" applyFill="1" applyBorder="1" applyAlignment="1" applyProtection="1">
      <alignment horizontal="center"/>
      <protection locked="0"/>
    </xf>
    <xf numFmtId="182" fontId="7" fillId="0" borderId="1" xfId="0" applyNumberFormat="1" applyFont="1" applyFill="1" applyBorder="1" applyAlignment="1" applyProtection="1">
      <alignment horizontal="center"/>
      <protection locked="0"/>
    </xf>
    <xf numFmtId="0" fontId="7" fillId="0" borderId="0" xfId="0" applyFont="1" applyBorder="1" applyAlignment="1" applyProtection="1">
      <alignment horizontal="left" vertical="top"/>
    </xf>
    <xf numFmtId="0" fontId="7" fillId="0" borderId="6" xfId="0" applyFont="1" applyBorder="1" applyAlignment="1" applyProtection="1"/>
    <xf numFmtId="180" fontId="8" fillId="4" borderId="1" xfId="0" applyNumberFormat="1" applyFont="1" applyFill="1" applyBorder="1" applyAlignment="1" applyProtection="1">
      <alignment horizontal="center"/>
    </xf>
    <xf numFmtId="179" fontId="7" fillId="0" borderId="1" xfId="0" applyNumberFormat="1" applyFont="1" applyFill="1" applyBorder="1" applyAlignment="1" applyProtection="1">
      <alignment horizontal="center"/>
      <protection locked="0"/>
    </xf>
    <xf numFmtId="179" fontId="22" fillId="4" borderId="1" xfId="0" applyNumberFormat="1" applyFont="1" applyFill="1" applyBorder="1" applyAlignment="1" applyProtection="1">
      <alignment horizontal="center"/>
    </xf>
    <xf numFmtId="0" fontId="7" fillId="4" borderId="5" xfId="0" applyFont="1" applyFill="1" applyBorder="1" applyAlignment="1" applyProtection="1">
      <alignment vertical="center"/>
    </xf>
    <xf numFmtId="0" fontId="7" fillId="4" borderId="16" xfId="0" applyFont="1" applyFill="1" applyBorder="1" applyAlignment="1" applyProtection="1">
      <alignment vertical="center"/>
    </xf>
    <xf numFmtId="0" fontId="7" fillId="4" borderId="6" xfId="0" applyFont="1" applyFill="1" applyBorder="1" applyAlignment="1" applyProtection="1">
      <alignment vertical="center"/>
    </xf>
    <xf numFmtId="177" fontId="7" fillId="4" borderId="1" xfId="0" applyNumberFormat="1" applyFont="1" applyFill="1" applyBorder="1" applyAlignment="1" applyProtection="1">
      <alignment horizontal="center"/>
    </xf>
    <xf numFmtId="179" fontId="8" fillId="4" borderId="1" xfId="0" applyNumberFormat="1" applyFont="1" applyFill="1" applyBorder="1" applyAlignment="1" applyProtection="1">
      <alignment horizontal="center"/>
    </xf>
    <xf numFmtId="0" fontId="40" fillId="0" borderId="0" xfId="0" applyFont="1" applyProtection="1"/>
    <xf numFmtId="0" fontId="7" fillId="0" borderId="0" xfId="0" applyFont="1" applyAlignment="1" applyProtection="1">
      <alignment horizontal="center"/>
    </xf>
    <xf numFmtId="176" fontId="7" fillId="0" borderId="1" xfId="0" applyNumberFormat="1" applyFont="1" applyBorder="1" applyProtection="1"/>
    <xf numFmtId="176" fontId="22" fillId="0" borderId="1" xfId="0" applyNumberFormat="1" applyFont="1" applyBorder="1" applyProtection="1"/>
    <xf numFmtId="176" fontId="7" fillId="4" borderId="1" xfId="0" applyNumberFormat="1" applyFont="1" applyFill="1" applyBorder="1" applyProtection="1"/>
    <xf numFmtId="0" fontId="24" fillId="4" borderId="1" xfId="0" applyFont="1" applyFill="1" applyBorder="1" applyProtection="1"/>
    <xf numFmtId="183" fontId="7" fillId="0" borderId="0" xfId="0" applyNumberFormat="1" applyFont="1" applyProtection="1"/>
    <xf numFmtId="49" fontId="7" fillId="0" borderId="1" xfId="0" applyNumberFormat="1" applyFont="1" applyBorder="1" applyAlignment="1" applyProtection="1">
      <alignment horizontal="center" vertical="center"/>
    </xf>
    <xf numFmtId="49" fontId="7" fillId="0" borderId="1" xfId="0" applyNumberFormat="1" applyFont="1" applyBorder="1" applyAlignment="1" applyProtection="1">
      <alignment horizontal="center" vertical="center" wrapText="1"/>
    </xf>
    <xf numFmtId="0" fontId="10" fillId="0" borderId="1" xfId="0" applyFont="1" applyBorder="1" applyAlignment="1" applyProtection="1">
      <alignment horizontal="center" vertical="center"/>
    </xf>
    <xf numFmtId="183" fontId="6" fillId="4" borderId="1" xfId="0" applyNumberFormat="1" applyFont="1" applyFill="1" applyBorder="1" applyAlignment="1" applyProtection="1">
      <alignment horizontal="center" vertical="center" wrapText="1"/>
    </xf>
    <xf numFmtId="0" fontId="7" fillId="0" borderId="0" xfId="0" applyFont="1" applyBorder="1" applyAlignment="1" applyProtection="1">
      <alignment horizontal="center" vertical="center"/>
    </xf>
    <xf numFmtId="0" fontId="8" fillId="0" borderId="0" xfId="0" applyFont="1" applyBorder="1" applyAlignment="1" applyProtection="1">
      <alignment horizontal="center" vertical="center"/>
    </xf>
    <xf numFmtId="0" fontId="6" fillId="0" borderId="0" xfId="0" applyFont="1" applyBorder="1" applyAlignment="1" applyProtection="1">
      <alignment horizontal="left" vertical="center"/>
    </xf>
    <xf numFmtId="183" fontId="42" fillId="4" borderId="1" xfId="0" applyNumberFormat="1" applyFont="1" applyFill="1" applyBorder="1" applyAlignment="1" applyProtection="1">
      <alignment horizontal="center" vertical="center"/>
    </xf>
    <xf numFmtId="183" fontId="42" fillId="4" borderId="1" xfId="0" applyNumberFormat="1" applyFont="1" applyFill="1" applyBorder="1" applyAlignment="1" applyProtection="1">
      <alignment horizontal="center" vertical="center" wrapText="1"/>
    </xf>
    <xf numFmtId="0" fontId="7" fillId="4" borderId="1" xfId="0" applyFont="1" applyFill="1" applyBorder="1" applyAlignment="1" applyProtection="1">
      <alignment horizontal="center" wrapText="1"/>
    </xf>
    <xf numFmtId="0" fontId="24" fillId="0" borderId="1" xfId="0" applyFont="1" applyBorder="1" applyProtection="1"/>
    <xf numFmtId="0" fontId="43" fillId="0" borderId="0" xfId="0" applyFont="1"/>
    <xf numFmtId="0" fontId="0" fillId="0" borderId="1" xfId="0" applyBorder="1"/>
    <xf numFmtId="0" fontId="21" fillId="0" borderId="1" xfId="0" applyFont="1" applyBorder="1"/>
    <xf numFmtId="0" fontId="0" fillId="0" borderId="0" xfId="0" applyAlignment="1"/>
    <xf numFmtId="0" fontId="0" fillId="0" borderId="0" xfId="0" applyAlignment="1">
      <alignment horizontal="center"/>
    </xf>
    <xf numFmtId="0" fontId="58" fillId="0" borderId="0" xfId="0" applyFont="1" applyAlignment="1">
      <alignment wrapText="1"/>
    </xf>
    <xf numFmtId="0" fontId="0" fillId="0" borderId="23" xfId="0" applyBorder="1"/>
    <xf numFmtId="0" fontId="58" fillId="0" borderId="0" xfId="0" applyFont="1"/>
    <xf numFmtId="0" fontId="58" fillId="0" borderId="0" xfId="0" applyFont="1" applyAlignment="1">
      <alignment horizontal="center"/>
    </xf>
    <xf numFmtId="0" fontId="0" fillId="0" borderId="0" xfId="0" applyFont="1"/>
    <xf numFmtId="0" fontId="0" fillId="0" borderId="0" xfId="0" applyFont="1" applyAlignment="1">
      <alignment horizontal="center"/>
    </xf>
    <xf numFmtId="0" fontId="58" fillId="4" borderId="1" xfId="0" applyFont="1" applyFill="1" applyBorder="1"/>
    <xf numFmtId="0" fontId="58" fillId="4" borderId="1" xfId="0" applyFont="1" applyFill="1" applyBorder="1" applyAlignment="1">
      <alignment horizontal="center"/>
    </xf>
    <xf numFmtId="0" fontId="60" fillId="0" borderId="1" xfId="0" applyFont="1" applyBorder="1" applyAlignment="1">
      <alignment horizontal="center"/>
    </xf>
    <xf numFmtId="179" fontId="58" fillId="4" borderId="1" xfId="0" applyNumberFormat="1" applyFont="1" applyFill="1" applyBorder="1" applyAlignment="1">
      <alignment horizontal="center"/>
    </xf>
    <xf numFmtId="0" fontId="0" fillId="4" borderId="1" xfId="0" applyFill="1" applyBorder="1"/>
    <xf numFmtId="179" fontId="43" fillId="4" borderId="1" xfId="0" applyNumberFormat="1" applyFont="1" applyFill="1" applyBorder="1" applyAlignment="1">
      <alignment horizontal="center"/>
    </xf>
    <xf numFmtId="0" fontId="0" fillId="0" borderId="0" xfId="0" applyBorder="1" applyAlignment="1">
      <alignment horizontal="center"/>
    </xf>
    <xf numFmtId="0" fontId="21" fillId="0" borderId="0" xfId="0" applyFont="1" applyBorder="1" applyAlignment="1">
      <alignment horizontal="center"/>
    </xf>
    <xf numFmtId="0" fontId="0" fillId="0" borderId="0" xfId="0" applyBorder="1"/>
    <xf numFmtId="184" fontId="49" fillId="0" borderId="0" xfId="0" applyNumberFormat="1" applyFont="1" applyBorder="1" applyAlignment="1">
      <alignment horizontal="center" vertical="center"/>
    </xf>
    <xf numFmtId="0" fontId="0" fillId="0" borderId="0" xfId="0" applyProtection="1">
      <protection hidden="1"/>
    </xf>
    <xf numFmtId="0" fontId="82" fillId="0" borderId="1" xfId="0" applyFont="1" applyBorder="1"/>
    <xf numFmtId="184" fontId="49" fillId="0" borderId="26" xfId="0" applyNumberFormat="1" applyFont="1" applyBorder="1" applyAlignment="1">
      <alignment horizontal="center" vertical="center"/>
    </xf>
    <xf numFmtId="0" fontId="84" fillId="4" borderId="1" xfId="0" applyFont="1" applyFill="1" applyBorder="1"/>
    <xf numFmtId="0" fontId="0" fillId="0" borderId="4" xfId="0" applyBorder="1"/>
    <xf numFmtId="0" fontId="21" fillId="0" borderId="56" xfId="0" applyFont="1" applyBorder="1"/>
    <xf numFmtId="0" fontId="7" fillId="0" borderId="0" xfId="0" applyFont="1" applyBorder="1" applyAlignment="1" applyProtection="1">
      <alignment wrapText="1"/>
      <protection locked="0"/>
    </xf>
    <xf numFmtId="0" fontId="21" fillId="0" borderId="0" xfId="0" applyFont="1"/>
    <xf numFmtId="177" fontId="50" fillId="4" borderId="1" xfId="0" applyNumberFormat="1" applyFont="1" applyFill="1" applyBorder="1" applyAlignment="1" applyProtection="1">
      <alignment horizontal="left"/>
    </xf>
    <xf numFmtId="184" fontId="49" fillId="4" borderId="0" xfId="0" applyNumberFormat="1" applyFont="1" applyFill="1" applyBorder="1" applyAlignment="1" applyProtection="1">
      <alignment horizontal="center" vertical="center"/>
      <protection hidden="1"/>
    </xf>
    <xf numFmtId="0" fontId="101" fillId="0" borderId="1" xfId="0" applyFont="1" applyBorder="1" applyAlignment="1">
      <alignment horizontal="center"/>
    </xf>
    <xf numFmtId="0" fontId="101" fillId="2" borderId="1" xfId="0" applyFont="1" applyFill="1" applyBorder="1" applyAlignment="1">
      <alignment horizontal="center"/>
    </xf>
    <xf numFmtId="0" fontId="21" fillId="4" borderId="1" xfId="0" applyFont="1" applyFill="1" applyBorder="1"/>
    <xf numFmtId="0" fontId="0" fillId="0" borderId="13" xfId="0" applyBorder="1" applyAlignment="1">
      <alignment horizontal="center"/>
    </xf>
    <xf numFmtId="0" fontId="56" fillId="4" borderId="1" xfId="0" applyFont="1" applyFill="1" applyBorder="1" applyAlignment="1">
      <alignment horizontal="right"/>
    </xf>
    <xf numFmtId="0" fontId="84" fillId="4" borderId="1" xfId="0" applyFont="1" applyFill="1" applyBorder="1" applyAlignment="1">
      <alignment horizontal="left" vertical="center"/>
    </xf>
    <xf numFmtId="0" fontId="5" fillId="0" borderId="0" xfId="1" applyBorder="1" applyAlignment="1">
      <alignment vertical="center" wrapText="1"/>
    </xf>
    <xf numFmtId="0" fontId="73" fillId="0" borderId="0" xfId="1" applyFont="1" applyBorder="1" applyAlignment="1">
      <alignment vertical="center" wrapText="1"/>
    </xf>
    <xf numFmtId="0" fontId="5" fillId="0" borderId="0" xfId="1" applyBorder="1" applyAlignment="1">
      <alignment wrapText="1"/>
    </xf>
    <xf numFmtId="0" fontId="5" fillId="0" borderId="0" xfId="1" applyBorder="1" applyAlignment="1">
      <alignment horizontal="center" vertical="top" wrapText="1"/>
    </xf>
    <xf numFmtId="0" fontId="5" fillId="0" borderId="0" xfId="1" applyBorder="1" applyAlignment="1">
      <alignment vertical="top" wrapText="1"/>
    </xf>
    <xf numFmtId="0" fontId="72" fillId="0" borderId="0" xfId="1" applyFont="1" applyBorder="1" applyAlignment="1">
      <alignment vertical="top" wrapText="1"/>
    </xf>
    <xf numFmtId="0" fontId="80" fillId="0" borderId="0" xfId="0" applyFont="1" applyBorder="1" applyAlignment="1">
      <alignment horizontal="center" wrapText="1"/>
    </xf>
    <xf numFmtId="0" fontId="81" fillId="0" borderId="0" xfId="0" applyFont="1" applyBorder="1" applyAlignment="1">
      <alignment horizontal="center" wrapText="1"/>
    </xf>
    <xf numFmtId="0" fontId="75" fillId="0" borderId="0" xfId="0" applyFont="1" applyBorder="1" applyAlignment="1">
      <alignment horizontal="center" wrapText="1"/>
    </xf>
    <xf numFmtId="0" fontId="74" fillId="0" borderId="0" xfId="0" applyFont="1" applyBorder="1" applyAlignment="1">
      <alignment wrapText="1"/>
    </xf>
    <xf numFmtId="0" fontId="75" fillId="0" borderId="0" xfId="0" applyFont="1" applyBorder="1" applyAlignment="1">
      <alignment vertical="center" wrapText="1"/>
    </xf>
    <xf numFmtId="0" fontId="75" fillId="0" borderId="1" xfId="0" applyFont="1" applyBorder="1" applyAlignment="1">
      <alignment horizontal="center" wrapText="1"/>
    </xf>
    <xf numFmtId="0" fontId="60" fillId="4" borderId="1" xfId="0" applyFont="1" applyFill="1" applyBorder="1" applyAlignment="1">
      <alignment horizontal="center" wrapText="1"/>
    </xf>
    <xf numFmtId="0" fontId="60" fillId="5" borderId="1" xfId="0" applyFont="1" applyFill="1" applyBorder="1" applyAlignment="1">
      <alignment horizontal="center" wrapText="1"/>
    </xf>
    <xf numFmtId="0" fontId="75" fillId="0" borderId="1" xfId="0" applyFont="1" applyBorder="1" applyAlignment="1">
      <alignment horizontal="center" vertical="center" wrapText="1"/>
    </xf>
    <xf numFmtId="0" fontId="60" fillId="9" borderId="1" xfId="0" applyFont="1" applyFill="1" applyBorder="1" applyAlignment="1">
      <alignment horizontal="center" wrapText="1"/>
    </xf>
    <xf numFmtId="0" fontId="85" fillId="4" borderId="1" xfId="0" applyFont="1" applyFill="1" applyBorder="1" applyAlignment="1">
      <alignment horizontal="left" vertical="center"/>
    </xf>
    <xf numFmtId="0" fontId="56" fillId="4" borderId="1" xfId="0" applyFont="1" applyFill="1" applyBorder="1" applyAlignment="1">
      <alignment horizontal="left"/>
    </xf>
    <xf numFmtId="0" fontId="86" fillId="4" borderId="1" xfId="0" applyFont="1" applyFill="1" applyBorder="1" applyAlignment="1">
      <alignment horizontal="center"/>
    </xf>
    <xf numFmtId="179" fontId="50" fillId="4" borderId="1" xfId="0" applyNumberFormat="1" applyFont="1" applyFill="1" applyBorder="1" applyAlignment="1">
      <alignment horizontal="center"/>
    </xf>
    <xf numFmtId="0" fontId="21" fillId="4" borderId="1" xfId="0" applyFont="1" applyFill="1" applyBorder="1" applyAlignment="1">
      <alignment horizontal="center" vertical="center" wrapText="1"/>
    </xf>
    <xf numFmtId="0" fontId="83" fillId="4" borderId="1" xfId="0" applyFont="1" applyFill="1" applyBorder="1" applyAlignment="1">
      <alignment horizontal="left"/>
    </xf>
    <xf numFmtId="0" fontId="75" fillId="9" borderId="1" xfId="0" applyFont="1" applyFill="1" applyBorder="1" applyAlignment="1">
      <alignment horizontal="center" vertical="center" wrapText="1"/>
    </xf>
    <xf numFmtId="0" fontId="0" fillId="0" borderId="0" xfId="0" applyFill="1" applyBorder="1"/>
    <xf numFmtId="0" fontId="85" fillId="4" borderId="1" xfId="0" applyFont="1" applyFill="1" applyBorder="1"/>
    <xf numFmtId="179" fontId="0" fillId="0" borderId="0" xfId="0" applyNumberFormat="1" applyAlignment="1"/>
    <xf numFmtId="0" fontId="0" fillId="4" borderId="0" xfId="0" applyFill="1"/>
    <xf numFmtId="0" fontId="21" fillId="9" borderId="0" xfId="0" applyFont="1" applyFill="1"/>
    <xf numFmtId="0" fontId="60" fillId="4" borderId="1" xfId="0" applyFont="1" applyFill="1" applyBorder="1" applyAlignment="1">
      <alignment horizontal="center"/>
    </xf>
    <xf numFmtId="179" fontId="105" fillId="4" borderId="1" xfId="0" applyNumberFormat="1" applyFont="1" applyFill="1" applyBorder="1" applyAlignment="1">
      <alignment horizontal="center"/>
    </xf>
    <xf numFmtId="0" fontId="105" fillId="4" borderId="1" xfId="0" applyFont="1" applyFill="1" applyBorder="1"/>
    <xf numFmtId="0" fontId="21" fillId="8" borderId="0" xfId="0" applyFont="1" applyFill="1"/>
    <xf numFmtId="0" fontId="0" fillId="0" borderId="0" xfId="0" applyAlignment="1">
      <alignment vertical="top" wrapText="1"/>
    </xf>
    <xf numFmtId="0" fontId="0" fillId="0" borderId="0" xfId="0" applyAlignment="1">
      <alignment horizontal="left" vertical="top" wrapText="1"/>
    </xf>
    <xf numFmtId="0" fontId="21" fillId="4" borderId="0" xfId="0" applyFont="1" applyFill="1"/>
    <xf numFmtId="0" fontId="21" fillId="0" borderId="0" xfId="0" applyFont="1" applyBorder="1"/>
    <xf numFmtId="0" fontId="21" fillId="0" borderId="1" xfId="0" applyFont="1" applyBorder="1" applyAlignment="1">
      <alignment vertical="center" wrapText="1"/>
    </xf>
    <xf numFmtId="0" fontId="110" fillId="4" borderId="1" xfId="0" applyFont="1" applyFill="1" applyBorder="1"/>
    <xf numFmtId="0" fontId="105" fillId="4" borderId="1" xfId="0" applyFont="1" applyFill="1" applyBorder="1" applyAlignment="1">
      <alignment horizontal="left"/>
    </xf>
    <xf numFmtId="0" fontId="21" fillId="10" borderId="0" xfId="0" applyFont="1" applyFill="1"/>
    <xf numFmtId="0" fontId="111" fillId="4" borderId="1" xfId="0" applyFont="1" applyFill="1" applyBorder="1"/>
    <xf numFmtId="185" fontId="58" fillId="4" borderId="1" xfId="0" applyNumberFormat="1" applyFont="1" applyFill="1" applyBorder="1" applyAlignment="1">
      <alignment horizontal="center"/>
    </xf>
    <xf numFmtId="0" fontId="112" fillId="4" borderId="1" xfId="0" applyFont="1" applyFill="1" applyBorder="1"/>
    <xf numFmtId="179" fontId="112" fillId="4" borderId="1" xfId="0" applyNumberFormat="1" applyFont="1" applyFill="1" applyBorder="1" applyAlignment="1">
      <alignment horizontal="center"/>
    </xf>
    <xf numFmtId="0" fontId="113" fillId="4" borderId="6" xfId="0" applyFont="1" applyFill="1" applyBorder="1" applyAlignment="1">
      <alignment horizontal="left"/>
    </xf>
    <xf numFmtId="0" fontId="123" fillId="0" borderId="1" xfId="4" applyFont="1" applyBorder="1" applyProtection="1">
      <alignment vertical="center"/>
      <protection locked="0"/>
    </xf>
    <xf numFmtId="185" fontId="123" fillId="0" borderId="1" xfId="4" applyNumberFormat="1" applyFont="1" applyBorder="1" applyProtection="1">
      <alignment vertical="center"/>
      <protection locked="0"/>
    </xf>
    <xf numFmtId="0" fontId="7" fillId="0" borderId="1" xfId="0" applyFont="1" applyBorder="1" applyAlignment="1" applyProtection="1">
      <alignment horizontal="center"/>
      <protection locked="0"/>
    </xf>
    <xf numFmtId="0" fontId="7" fillId="0" borderId="1" xfId="0" applyFont="1" applyBorder="1" applyAlignment="1" applyProtection="1">
      <alignment horizontal="left"/>
      <protection locked="0"/>
    </xf>
    <xf numFmtId="0" fontId="7" fillId="0" borderId="1" xfId="0" applyFont="1" applyBorder="1" applyAlignment="1" applyProtection="1">
      <alignment horizontal="left" vertical="center" wrapText="1"/>
    </xf>
    <xf numFmtId="0" fontId="7" fillId="0" borderId="1" xfId="0" applyFont="1" applyBorder="1" applyAlignment="1" applyProtection="1">
      <alignment horizontal="left" vertical="center"/>
    </xf>
    <xf numFmtId="0" fontId="7" fillId="0" borderId="1" xfId="0" applyFont="1" applyBorder="1" applyAlignment="1" applyProtection="1">
      <alignment horizontal="center"/>
    </xf>
    <xf numFmtId="0" fontId="7" fillId="4" borderId="1" xfId="0" applyFont="1" applyFill="1" applyBorder="1" applyAlignment="1" applyProtection="1">
      <alignment horizontal="left" vertical="center"/>
    </xf>
    <xf numFmtId="0" fontId="7" fillId="0" borderId="0" xfId="0" applyFont="1" applyBorder="1" applyAlignment="1" applyProtection="1">
      <alignment horizontal="left" vertical="top" wrapText="1"/>
    </xf>
    <xf numFmtId="0" fontId="7" fillId="0" borderId="5" xfId="0" applyFont="1" applyBorder="1" applyAlignment="1" applyProtection="1">
      <alignment horizontal="left" vertical="center" wrapText="1"/>
    </xf>
    <xf numFmtId="0" fontId="7" fillId="0" borderId="1" xfId="0" applyFont="1" applyBorder="1" applyAlignment="1" applyProtection="1">
      <alignment horizontal="left" wrapText="1"/>
    </xf>
    <xf numFmtId="0" fontId="7" fillId="0" borderId="1" xfId="0" applyFont="1" applyBorder="1" applyAlignment="1" applyProtection="1">
      <alignment horizontal="left"/>
    </xf>
    <xf numFmtId="0" fontId="7" fillId="4" borderId="1" xfId="0" applyFont="1" applyFill="1" applyBorder="1" applyAlignment="1" applyProtection="1">
      <alignment horizontal="left"/>
    </xf>
    <xf numFmtId="183" fontId="6" fillId="4" borderId="1" xfId="0" applyNumberFormat="1" applyFont="1" applyFill="1" applyBorder="1" applyAlignment="1" applyProtection="1">
      <alignment horizontal="center" vertical="center"/>
    </xf>
    <xf numFmtId="0" fontId="7" fillId="4" borderId="1" xfId="0" applyFont="1" applyFill="1" applyBorder="1" applyAlignment="1" applyProtection="1">
      <alignment horizontal="center" vertical="center"/>
    </xf>
    <xf numFmtId="0" fontId="7" fillId="0" borderId="1" xfId="0" applyFont="1" applyBorder="1" applyAlignment="1" applyProtection="1">
      <alignment horizontal="center" vertical="center"/>
    </xf>
    <xf numFmtId="0" fontId="8" fillId="0" borderId="1" xfId="0" applyFont="1" applyBorder="1" applyAlignment="1" applyProtection="1">
      <alignment horizontal="center" vertical="center"/>
    </xf>
    <xf numFmtId="178" fontId="6" fillId="4" borderId="15" xfId="0" applyNumberFormat="1" applyFont="1" applyFill="1" applyBorder="1" applyAlignment="1" applyProtection="1">
      <alignment horizontal="left"/>
    </xf>
    <xf numFmtId="178" fontId="6" fillId="4" borderId="4" xfId="0" applyNumberFormat="1" applyFont="1" applyFill="1" applyBorder="1" applyAlignment="1" applyProtection="1">
      <alignment horizontal="left"/>
    </xf>
    <xf numFmtId="0" fontId="6" fillId="4" borderId="15" xfId="0" applyFont="1" applyFill="1" applyBorder="1" applyAlignment="1" applyProtection="1">
      <alignment horizontal="center"/>
    </xf>
    <xf numFmtId="0" fontId="21" fillId="4" borderId="1" xfId="0" applyFont="1" applyFill="1" applyBorder="1" applyAlignment="1">
      <alignment horizontal="left"/>
    </xf>
    <xf numFmtId="0" fontId="7" fillId="2" borderId="1" xfId="0" applyFont="1" applyFill="1" applyBorder="1" applyAlignment="1" applyProtection="1">
      <alignment horizontal="left"/>
    </xf>
    <xf numFmtId="0" fontId="9" fillId="0" borderId="0" xfId="1" applyFont="1" applyBorder="1" applyProtection="1"/>
    <xf numFmtId="0" fontId="9" fillId="0" borderId="0" xfId="1" applyFont="1" applyBorder="1" applyAlignment="1" applyProtection="1">
      <alignment horizontal="left" wrapText="1"/>
    </xf>
    <xf numFmtId="0" fontId="9" fillId="0" borderId="0" xfId="1" applyFont="1" applyBorder="1" applyAlignment="1" applyProtection="1">
      <alignment horizontal="left"/>
    </xf>
    <xf numFmtId="0" fontId="7" fillId="0" borderId="0" xfId="0" applyFont="1" applyAlignment="1" applyProtection="1"/>
    <xf numFmtId="0" fontId="10" fillId="2" borderId="1" xfId="1" applyFont="1" applyFill="1" applyBorder="1" applyAlignment="1" applyProtection="1">
      <alignment horizontal="left"/>
    </xf>
    <xf numFmtId="176" fontId="12" fillId="2" borderId="1" xfId="1" applyNumberFormat="1" applyFont="1" applyFill="1" applyBorder="1" applyAlignment="1" applyProtection="1">
      <alignment horizontal="left"/>
    </xf>
    <xf numFmtId="176" fontId="10" fillId="2" borderId="1" xfId="1" applyNumberFormat="1" applyFont="1" applyFill="1" applyBorder="1" applyAlignment="1" applyProtection="1">
      <alignment horizontal="left"/>
    </xf>
    <xf numFmtId="0" fontId="7" fillId="0" borderId="0" xfId="0" applyFont="1" applyAlignment="1" applyProtection="1">
      <alignment vertical="center"/>
    </xf>
    <xf numFmtId="0" fontId="0" fillId="0" borderId="0" xfId="0" applyBorder="1" applyAlignment="1" applyProtection="1">
      <alignment vertical="center"/>
    </xf>
    <xf numFmtId="0" fontId="7" fillId="0" borderId="0" xfId="0" applyFont="1" applyBorder="1" applyAlignment="1" applyProtection="1"/>
    <xf numFmtId="0" fontId="7" fillId="0" borderId="0" xfId="0" applyFont="1" applyAlignment="1" applyProtection="1">
      <alignment wrapText="1"/>
    </xf>
    <xf numFmtId="0" fontId="7" fillId="0" borderId="0" xfId="0" applyFont="1" applyAlignment="1" applyProtection="1">
      <alignment horizontal="left" wrapText="1"/>
    </xf>
    <xf numFmtId="179" fontId="7" fillId="8" borderId="1" xfId="0" applyNumberFormat="1" applyFont="1" applyFill="1" applyBorder="1" applyAlignment="1" applyProtection="1">
      <alignment horizontal="left"/>
      <protection locked="0"/>
    </xf>
    <xf numFmtId="179" fontId="24" fillId="8" borderId="1" xfId="0" applyNumberFormat="1" applyFont="1" applyFill="1" applyBorder="1" applyAlignment="1" applyProtection="1">
      <alignment horizontal="left" vertical="center"/>
      <protection locked="0"/>
    </xf>
    <xf numFmtId="0" fontId="10" fillId="8" borderId="3" xfId="0" applyFont="1" applyFill="1" applyBorder="1" applyAlignment="1" applyProtection="1">
      <alignment horizontal="left"/>
      <protection locked="0"/>
    </xf>
    <xf numFmtId="179" fontId="7" fillId="4" borderId="1" xfId="0" applyNumberFormat="1" applyFont="1" applyFill="1" applyBorder="1" applyAlignment="1" applyProtection="1">
      <alignment horizontal="left" vertical="center"/>
    </xf>
    <xf numFmtId="0" fontId="7" fillId="0" borderId="1" xfId="0" applyFont="1" applyBorder="1" applyAlignment="1" applyProtection="1">
      <alignment horizontal="right"/>
    </xf>
    <xf numFmtId="0" fontId="7" fillId="0" borderId="5" xfId="0" applyFont="1" applyBorder="1" applyAlignment="1" applyProtection="1">
      <alignment horizontal="left" vertical="center"/>
    </xf>
    <xf numFmtId="0" fontId="7" fillId="0" borderId="5" xfId="0" applyFont="1" applyBorder="1" applyAlignment="1" applyProtection="1">
      <alignment horizontal="right"/>
    </xf>
    <xf numFmtId="0" fontId="7" fillId="0" borderId="27" xfId="0" applyFont="1" applyBorder="1" applyAlignment="1" applyProtection="1">
      <alignment horizontal="left"/>
    </xf>
    <xf numFmtId="0" fontId="7" fillId="0" borderId="0" xfId="0" applyFont="1" applyBorder="1" applyAlignment="1" applyProtection="1">
      <alignment horizontal="right"/>
    </xf>
    <xf numFmtId="0" fontId="7" fillId="0" borderId="4" xfId="0" applyFont="1" applyBorder="1" applyAlignment="1" applyProtection="1">
      <alignment horizontal="right"/>
    </xf>
    <xf numFmtId="0" fontId="7" fillId="8" borderId="1" xfId="0" applyFont="1" applyFill="1" applyBorder="1" applyAlignment="1" applyProtection="1">
      <alignment horizontal="center"/>
      <protection locked="0"/>
    </xf>
    <xf numFmtId="182" fontId="7" fillId="4" borderId="1" xfId="0" applyNumberFormat="1" applyFont="1" applyFill="1" applyBorder="1" applyAlignment="1" applyProtection="1">
      <alignment horizontal="center"/>
    </xf>
    <xf numFmtId="0" fontId="7" fillId="0" borderId="13" xfId="0" applyFont="1" applyBorder="1" applyProtection="1"/>
    <xf numFmtId="0" fontId="7" fillId="0" borderId="0" xfId="0" applyFont="1" applyFill="1" applyProtection="1"/>
    <xf numFmtId="0" fontId="0" fillId="0" borderId="0" xfId="0" applyBorder="1" applyAlignment="1" applyProtection="1"/>
    <xf numFmtId="0" fontId="7" fillId="0" borderId="0" xfId="0" applyFont="1" applyAlignment="1" applyProtection="1">
      <alignment horizontal="center" vertical="center"/>
    </xf>
    <xf numFmtId="176" fontId="10" fillId="0" borderId="1" xfId="0" applyNumberFormat="1" applyFont="1" applyBorder="1" applyAlignment="1" applyProtection="1">
      <alignment horizontal="center" vertical="center"/>
    </xf>
    <xf numFmtId="0" fontId="6" fillId="4" borderId="1" xfId="0" applyFont="1" applyFill="1" applyBorder="1" applyAlignment="1" applyProtection="1">
      <alignment horizontal="center" vertical="center"/>
    </xf>
    <xf numFmtId="0" fontId="22" fillId="0" borderId="1" xfId="0" applyFont="1" applyBorder="1" applyAlignment="1" applyProtection="1">
      <alignment horizontal="center" vertical="center"/>
    </xf>
    <xf numFmtId="176" fontId="22" fillId="0" borderId="1" xfId="0" applyNumberFormat="1" applyFont="1" applyBorder="1" applyAlignment="1" applyProtection="1">
      <alignment horizontal="center" vertical="center"/>
    </xf>
    <xf numFmtId="0" fontId="6" fillId="4" borderId="1" xfId="0" applyFont="1" applyFill="1" applyBorder="1" applyAlignment="1" applyProtection="1">
      <alignment horizontal="center"/>
    </xf>
    <xf numFmtId="49" fontId="6" fillId="4" borderId="1" xfId="0" applyNumberFormat="1" applyFont="1" applyFill="1" applyBorder="1" applyAlignment="1" applyProtection="1">
      <alignment horizontal="center"/>
    </xf>
    <xf numFmtId="49" fontId="7" fillId="0" borderId="1" xfId="0" applyNumberFormat="1" applyFont="1" applyBorder="1" applyAlignment="1" applyProtection="1">
      <alignment horizontal="center"/>
    </xf>
    <xf numFmtId="49" fontId="42" fillId="4" borderId="1" xfId="0" applyNumberFormat="1" applyFont="1" applyFill="1" applyBorder="1" applyAlignment="1" applyProtection="1">
      <alignment horizontal="center"/>
    </xf>
    <xf numFmtId="49" fontId="7" fillId="0" borderId="1" xfId="0" applyNumberFormat="1" applyFont="1" applyBorder="1" applyAlignment="1" applyProtection="1">
      <alignment horizontal="center" wrapText="1"/>
    </xf>
    <xf numFmtId="49" fontId="6" fillId="0" borderId="0" xfId="0" applyNumberFormat="1" applyFont="1" applyFill="1" applyBorder="1" applyAlignment="1" applyProtection="1">
      <alignment horizontal="center"/>
    </xf>
    <xf numFmtId="49" fontId="7" fillId="0" borderId="0" xfId="0" applyNumberFormat="1" applyFont="1" applyBorder="1" applyAlignment="1" applyProtection="1">
      <alignment horizontal="center"/>
    </xf>
    <xf numFmtId="176" fontId="10" fillId="0" borderId="0" xfId="0" applyNumberFormat="1" applyFont="1" applyBorder="1" applyAlignment="1" applyProtection="1">
      <alignment horizontal="center" vertical="center"/>
    </xf>
    <xf numFmtId="179" fontId="7" fillId="8" borderId="1" xfId="0" applyNumberFormat="1" applyFont="1" applyFill="1" applyBorder="1" applyAlignment="1" applyProtection="1">
      <alignment horizontal="center"/>
      <protection locked="0"/>
    </xf>
    <xf numFmtId="179" fontId="7" fillId="5" borderId="1" xfId="0" applyNumberFormat="1" applyFont="1" applyFill="1" applyBorder="1" applyAlignment="1" applyProtection="1">
      <alignment horizontal="center"/>
      <protection locked="0"/>
    </xf>
    <xf numFmtId="0" fontId="0" fillId="0" borderId="0" xfId="0" applyProtection="1"/>
    <xf numFmtId="0" fontId="58" fillId="0" borderId="0" xfId="0" applyFont="1" applyProtection="1"/>
    <xf numFmtId="0" fontId="58" fillId="0" borderId="0" xfId="0" applyFont="1" applyAlignment="1" applyProtection="1">
      <alignment horizontal="center"/>
    </xf>
    <xf numFmtId="0" fontId="0" fillId="0" borderId="0" xfId="0" applyAlignment="1" applyProtection="1"/>
    <xf numFmtId="0" fontId="0" fillId="4" borderId="0" xfId="0" applyFill="1" applyProtection="1"/>
    <xf numFmtId="0" fontId="58" fillId="4" borderId="1" xfId="0" applyFont="1" applyFill="1" applyBorder="1" applyProtection="1"/>
    <xf numFmtId="0" fontId="58" fillId="4" borderId="1" xfId="0" applyFont="1" applyFill="1" applyBorder="1" applyAlignment="1" applyProtection="1">
      <alignment horizontal="center"/>
    </xf>
    <xf numFmtId="0" fontId="0" fillId="0" borderId="0" xfId="0" applyBorder="1" applyAlignment="1" applyProtection="1">
      <alignment horizontal="center"/>
    </xf>
    <xf numFmtId="0" fontId="58" fillId="0" borderId="1" xfId="0" applyFont="1" applyBorder="1" applyAlignment="1" applyProtection="1">
      <alignment horizontal="center"/>
    </xf>
    <xf numFmtId="0" fontId="21" fillId="0" borderId="0" xfId="0" applyFont="1" applyBorder="1" applyAlignment="1" applyProtection="1">
      <alignment horizontal="center"/>
    </xf>
    <xf numFmtId="0" fontId="0" fillId="0" borderId="1" xfId="0" applyBorder="1" applyProtection="1"/>
    <xf numFmtId="0" fontId="0" fillId="0" borderId="11" xfId="0" applyBorder="1" applyProtection="1"/>
    <xf numFmtId="0" fontId="0" fillId="0" borderId="4" xfId="0" applyBorder="1" applyProtection="1"/>
    <xf numFmtId="0" fontId="82" fillId="0" borderId="1" xfId="0" applyFont="1" applyBorder="1" applyProtection="1"/>
    <xf numFmtId="0" fontId="0" fillId="0" borderId="23" xfId="0" applyBorder="1" applyProtection="1"/>
    <xf numFmtId="0" fontId="0" fillId="0" borderId="0" xfId="0" applyBorder="1" applyProtection="1"/>
    <xf numFmtId="0" fontId="0" fillId="4" borderId="0" xfId="0" applyFill="1" applyBorder="1" applyProtection="1"/>
    <xf numFmtId="0" fontId="21" fillId="0" borderId="56" xfId="0" applyFont="1" applyBorder="1" applyProtection="1"/>
    <xf numFmtId="0" fontId="0" fillId="0" borderId="13" xfId="0" applyBorder="1" applyProtection="1"/>
    <xf numFmtId="184" fontId="49" fillId="0" borderId="26" xfId="0" applyNumberFormat="1" applyFont="1" applyBorder="1" applyAlignment="1" applyProtection="1">
      <alignment horizontal="center" vertical="center"/>
    </xf>
    <xf numFmtId="184" fontId="49" fillId="0" borderId="0" xfId="0" applyNumberFormat="1" applyFont="1" applyBorder="1" applyAlignment="1" applyProtection="1">
      <alignment horizontal="center" vertical="center"/>
    </xf>
    <xf numFmtId="0" fontId="84" fillId="4" borderId="1" xfId="0" applyFont="1" applyFill="1" applyBorder="1" applyProtection="1"/>
    <xf numFmtId="0" fontId="58" fillId="4" borderId="1" xfId="0" applyFont="1" applyFill="1" applyBorder="1" applyAlignment="1" applyProtection="1">
      <alignment vertical="center" wrapText="1"/>
    </xf>
    <xf numFmtId="179" fontId="50" fillId="4" borderId="1" xfId="0" applyNumberFormat="1" applyFont="1" applyFill="1" applyBorder="1" applyAlignment="1" applyProtection="1">
      <alignment horizontal="center"/>
    </xf>
    <xf numFmtId="0" fontId="50" fillId="4" borderId="1" xfId="0" applyFont="1" applyFill="1" applyBorder="1" applyProtection="1"/>
    <xf numFmtId="182" fontId="58" fillId="4" borderId="1" xfId="0" applyNumberFormat="1" applyFont="1" applyFill="1" applyBorder="1" applyAlignment="1" applyProtection="1">
      <alignment horizontal="center"/>
    </xf>
    <xf numFmtId="179" fontId="58" fillId="4" borderId="1" xfId="0" applyNumberFormat="1" applyFont="1" applyFill="1" applyBorder="1" applyAlignment="1" applyProtection="1">
      <alignment horizontal="center"/>
    </xf>
    <xf numFmtId="0" fontId="58" fillId="4" borderId="5" xfId="0" applyFont="1" applyFill="1" applyBorder="1" applyProtection="1"/>
    <xf numFmtId="179" fontId="56" fillId="4" borderId="5" xfId="0" applyNumberFormat="1" applyFont="1" applyFill="1" applyBorder="1" applyAlignment="1" applyProtection="1">
      <alignment horizontal="center"/>
    </xf>
    <xf numFmtId="0" fontId="56" fillId="4" borderId="3" xfId="0" applyFont="1" applyFill="1" applyBorder="1" applyAlignment="1" applyProtection="1">
      <alignment horizontal="right"/>
    </xf>
    <xf numFmtId="0" fontId="56" fillId="4" borderId="4" xfId="0" applyFont="1" applyFill="1" applyBorder="1" applyAlignment="1" applyProtection="1">
      <alignment horizontal="left"/>
    </xf>
    <xf numFmtId="0" fontId="58" fillId="4" borderId="4" xfId="0" applyFont="1" applyFill="1" applyBorder="1" applyProtection="1"/>
    <xf numFmtId="0" fontId="58" fillId="4" borderId="18" xfId="0" applyFont="1" applyFill="1" applyBorder="1" applyProtection="1"/>
    <xf numFmtId="179" fontId="43" fillId="4" borderId="1" xfId="0" applyNumberFormat="1" applyFont="1" applyFill="1" applyBorder="1" applyAlignment="1" applyProtection="1">
      <alignment horizontal="center"/>
    </xf>
    <xf numFmtId="0" fontId="58" fillId="4" borderId="6" xfId="0" applyFont="1" applyFill="1" applyBorder="1" applyAlignment="1" applyProtection="1">
      <alignment horizontal="center" vertical="center"/>
    </xf>
    <xf numFmtId="0" fontId="0" fillId="4" borderId="1" xfId="0" applyFill="1" applyBorder="1" applyProtection="1"/>
    <xf numFmtId="0" fontId="0" fillId="4" borderId="1" xfId="0" applyFont="1" applyFill="1" applyBorder="1" applyAlignment="1" applyProtection="1">
      <alignment horizontal="center"/>
    </xf>
    <xf numFmtId="0" fontId="0" fillId="4" borderId="1" xfId="0" applyFont="1" applyFill="1" applyBorder="1" applyProtection="1"/>
    <xf numFmtId="179" fontId="0" fillId="4" borderId="1" xfId="0" applyNumberFormat="1" applyFont="1" applyFill="1" applyBorder="1" applyAlignment="1" applyProtection="1">
      <alignment horizontal="center"/>
    </xf>
    <xf numFmtId="0" fontId="0" fillId="4" borderId="1" xfId="0" applyFill="1" applyBorder="1" applyAlignment="1" applyProtection="1">
      <alignment vertical="center" wrapText="1"/>
    </xf>
    <xf numFmtId="0" fontId="0" fillId="0" borderId="0" xfId="0" applyFont="1" applyProtection="1"/>
    <xf numFmtId="0" fontId="0" fillId="0" borderId="0" xfId="0" applyFont="1" applyAlignment="1" applyProtection="1">
      <alignment horizontal="center"/>
    </xf>
    <xf numFmtId="0" fontId="7" fillId="0" borderId="0" xfId="0" applyFont="1" applyBorder="1" applyAlignment="1" applyProtection="1">
      <alignment wrapText="1"/>
    </xf>
    <xf numFmtId="0" fontId="58" fillId="0" borderId="0" xfId="0" applyFont="1" applyAlignment="1" applyProtection="1">
      <alignment wrapText="1"/>
    </xf>
    <xf numFmtId="0" fontId="5" fillId="0" borderId="33" xfId="1" applyBorder="1" applyAlignment="1" applyProtection="1">
      <alignment wrapText="1"/>
    </xf>
    <xf numFmtId="0" fontId="5" fillId="0" borderId="35" xfId="1" applyBorder="1" applyAlignment="1" applyProtection="1">
      <alignment wrapText="1"/>
    </xf>
    <xf numFmtId="0" fontId="5" fillId="0" borderId="48" xfId="1" applyBorder="1" applyAlignment="1" applyProtection="1">
      <alignment wrapText="1"/>
    </xf>
    <xf numFmtId="0" fontId="5" fillId="0" borderId="31" xfId="1" applyBorder="1" applyAlignment="1" applyProtection="1">
      <alignment horizontal="center" vertical="top" wrapText="1"/>
    </xf>
    <xf numFmtId="0" fontId="5" fillId="0" borderId="32" xfId="1" applyBorder="1" applyAlignment="1" applyProtection="1">
      <alignment vertical="top" wrapText="1"/>
    </xf>
    <xf numFmtId="0" fontId="5" fillId="0" borderId="50" xfId="1" applyBorder="1" applyAlignment="1" applyProtection="1">
      <alignment vertical="top" wrapText="1"/>
    </xf>
    <xf numFmtId="0" fontId="0" fillId="0" borderId="0" xfId="0" applyAlignment="1" applyProtection="1">
      <alignment horizontal="center"/>
    </xf>
    <xf numFmtId="0" fontId="5" fillId="0" borderId="53" xfId="1" applyBorder="1" applyAlignment="1" applyProtection="1">
      <alignment horizontal="center" vertical="top" wrapText="1"/>
    </xf>
    <xf numFmtId="0" fontId="5" fillId="0" borderId="54" xfId="1" applyBorder="1" applyAlignment="1" applyProtection="1">
      <alignment vertical="top" wrapText="1"/>
    </xf>
    <xf numFmtId="0" fontId="5" fillId="0" borderId="55" xfId="1" applyBorder="1" applyAlignment="1" applyProtection="1">
      <alignment vertical="top" wrapText="1"/>
    </xf>
    <xf numFmtId="0" fontId="72" fillId="0" borderId="55" xfId="1" applyFont="1" applyBorder="1" applyAlignment="1" applyProtection="1">
      <alignment vertical="top" wrapText="1"/>
    </xf>
    <xf numFmtId="0" fontId="80" fillId="0" borderId="41" xfId="0" applyFont="1" applyBorder="1" applyAlignment="1" applyProtection="1">
      <alignment horizontal="center" wrapText="1"/>
    </xf>
    <xf numFmtId="0" fontId="80" fillId="0" borderId="36" xfId="0" applyFont="1" applyBorder="1" applyAlignment="1" applyProtection="1">
      <alignment horizontal="center" wrapText="1"/>
    </xf>
    <xf numFmtId="0" fontId="81" fillId="0" borderId="40" xfId="0" applyFont="1" applyBorder="1" applyAlignment="1" applyProtection="1">
      <alignment horizontal="center" wrapText="1"/>
    </xf>
    <xf numFmtId="0" fontId="75" fillId="0" borderId="23" xfId="0" applyFont="1" applyBorder="1" applyAlignment="1" applyProtection="1">
      <alignment horizontal="center" wrapText="1"/>
    </xf>
    <xf numFmtId="0" fontId="75" fillId="0" borderId="0" xfId="0" applyFont="1" applyAlignment="1" applyProtection="1">
      <alignment horizontal="center" wrapText="1"/>
    </xf>
    <xf numFmtId="0" fontId="75" fillId="0" borderId="26" xfId="0" applyFont="1" applyBorder="1" applyAlignment="1" applyProtection="1">
      <alignment horizontal="center" wrapText="1"/>
    </xf>
    <xf numFmtId="0" fontId="75" fillId="0" borderId="25" xfId="0" applyFont="1" applyBorder="1" applyAlignment="1" applyProtection="1">
      <alignment horizontal="center" wrapText="1"/>
    </xf>
    <xf numFmtId="0" fontId="21" fillId="0" borderId="25" xfId="0" applyFont="1" applyBorder="1" applyProtection="1"/>
    <xf numFmtId="0" fontId="75" fillId="0" borderId="25" xfId="0" applyFont="1" applyFill="1" applyBorder="1" applyAlignment="1" applyProtection="1">
      <alignment horizontal="center" wrapText="1"/>
    </xf>
    <xf numFmtId="0" fontId="0" fillId="0" borderId="25" xfId="0" applyBorder="1" applyProtection="1"/>
    <xf numFmtId="0" fontId="58" fillId="0" borderId="1" xfId="0" applyFont="1" applyBorder="1" applyAlignment="1" applyProtection="1">
      <alignment horizontal="center"/>
      <protection locked="0"/>
    </xf>
    <xf numFmtId="0" fontId="60" fillId="8" borderId="1" xfId="0" applyFont="1" applyFill="1" applyBorder="1" applyAlignment="1" applyProtection="1">
      <alignment horizontal="center"/>
      <protection locked="0"/>
    </xf>
    <xf numFmtId="0" fontId="58" fillId="0" borderId="6" xfId="0" applyFont="1" applyBorder="1" applyAlignment="1" applyProtection="1">
      <alignment horizontal="center"/>
      <protection locked="0"/>
    </xf>
    <xf numFmtId="0" fontId="43" fillId="0" borderId="1" xfId="0" applyFont="1" applyBorder="1" applyAlignment="1" applyProtection="1">
      <alignment horizontal="center"/>
      <protection locked="0"/>
    </xf>
    <xf numFmtId="0" fontId="50" fillId="0" borderId="1" xfId="0" applyFont="1" applyBorder="1" applyAlignment="1" applyProtection="1">
      <alignment horizontal="center"/>
      <protection locked="0"/>
    </xf>
    <xf numFmtId="179" fontId="58" fillId="0" borderId="1" xfId="0" applyNumberFormat="1" applyFont="1" applyBorder="1" applyAlignment="1" applyProtection="1">
      <alignment horizontal="center"/>
      <protection locked="0"/>
    </xf>
    <xf numFmtId="0" fontId="102" fillId="5" borderId="1" xfId="0" applyFont="1" applyFill="1" applyBorder="1" applyAlignment="1" applyProtection="1">
      <protection locked="0"/>
    </xf>
    <xf numFmtId="0" fontId="21" fillId="0" borderId="0" xfId="0" applyFont="1" applyProtection="1"/>
    <xf numFmtId="0" fontId="58" fillId="4" borderId="1" xfId="0" applyFont="1" applyFill="1" applyBorder="1" applyAlignment="1" applyProtection="1">
      <alignment horizontal="left"/>
    </xf>
    <xf numFmtId="0" fontId="87" fillId="4" borderId="1" xfId="0" applyFont="1" applyFill="1" applyBorder="1" applyProtection="1"/>
    <xf numFmtId="179" fontId="86" fillId="4" borderId="1" xfId="0" applyNumberFormat="1" applyFont="1" applyFill="1" applyBorder="1" applyAlignment="1" applyProtection="1">
      <alignment horizontal="center"/>
    </xf>
    <xf numFmtId="0" fontId="55" fillId="8" borderId="1" xfId="0" applyFont="1" applyFill="1" applyBorder="1" applyAlignment="1" applyProtection="1">
      <alignment horizontal="center"/>
      <protection locked="0"/>
    </xf>
    <xf numFmtId="179" fontId="58" fillId="8" borderId="1" xfId="0" applyNumberFormat="1" applyFont="1" applyFill="1" applyBorder="1" applyAlignment="1" applyProtection="1">
      <alignment horizontal="center"/>
      <protection locked="0"/>
    </xf>
    <xf numFmtId="182" fontId="56" fillId="5" borderId="1" xfId="0" applyNumberFormat="1" applyFont="1" applyFill="1" applyBorder="1" applyAlignment="1" applyProtection="1">
      <alignment horizontal="center"/>
      <protection locked="0"/>
    </xf>
    <xf numFmtId="179" fontId="56" fillId="8" borderId="1" xfId="0" applyNumberFormat="1" applyFont="1" applyFill="1" applyBorder="1" applyAlignment="1" applyProtection="1">
      <alignment horizontal="center"/>
      <protection locked="0"/>
    </xf>
    <xf numFmtId="0" fontId="56" fillId="8" borderId="1" xfId="0" applyFont="1" applyFill="1" applyBorder="1" applyAlignment="1" applyProtection="1">
      <alignment horizontal="center"/>
      <protection locked="0"/>
    </xf>
    <xf numFmtId="0" fontId="58" fillId="0" borderId="0" xfId="0" applyFont="1" applyBorder="1" applyAlignment="1" applyProtection="1">
      <alignment horizontal="center"/>
    </xf>
    <xf numFmtId="0" fontId="58" fillId="0" borderId="0" xfId="0" applyFont="1" applyBorder="1" applyProtection="1"/>
    <xf numFmtId="184" fontId="114" fillId="0" borderId="0" xfId="0" applyNumberFormat="1" applyFont="1" applyBorder="1" applyAlignment="1" applyProtection="1">
      <alignment horizontal="center" vertical="center"/>
    </xf>
    <xf numFmtId="0" fontId="21" fillId="4" borderId="1" xfId="0" applyFont="1" applyFill="1" applyBorder="1" applyProtection="1"/>
    <xf numFmtId="0" fontId="58" fillId="0" borderId="1" xfId="0" applyFont="1" applyBorder="1" applyProtection="1"/>
    <xf numFmtId="0" fontId="58" fillId="0" borderId="1" xfId="0" applyFont="1" applyFill="1" applyBorder="1" applyProtection="1"/>
    <xf numFmtId="0" fontId="85" fillId="4" borderId="1" xfId="0" applyFont="1" applyFill="1" applyBorder="1" applyProtection="1"/>
    <xf numFmtId="0" fontId="58" fillId="0" borderId="0" xfId="0" applyFont="1" applyFill="1" applyBorder="1" applyProtection="1"/>
    <xf numFmtId="0" fontId="105" fillId="4" borderId="1" xfId="0" applyFont="1" applyFill="1" applyBorder="1" applyAlignment="1" applyProtection="1">
      <alignment horizontal="center"/>
    </xf>
    <xf numFmtId="0" fontId="58" fillId="0" borderId="5" xfId="0" applyFont="1" applyBorder="1" applyProtection="1"/>
    <xf numFmtId="0" fontId="21" fillId="0" borderId="6" xfId="0" applyFont="1" applyBorder="1" applyAlignment="1" applyProtection="1"/>
    <xf numFmtId="0" fontId="58" fillId="0" borderId="4" xfId="0" applyFont="1" applyBorder="1" applyProtection="1"/>
    <xf numFmtId="0" fontId="21" fillId="0" borderId="1" xfId="0" applyFont="1" applyFill="1" applyBorder="1" applyProtection="1"/>
    <xf numFmtId="0" fontId="21" fillId="0" borderId="6" xfId="0" applyFont="1" applyBorder="1" applyProtection="1"/>
    <xf numFmtId="179" fontId="58" fillId="4" borderId="5" xfId="0" applyNumberFormat="1" applyFont="1" applyFill="1" applyBorder="1" applyAlignment="1" applyProtection="1">
      <alignment horizontal="center"/>
    </xf>
    <xf numFmtId="0" fontId="84" fillId="4" borderId="5" xfId="0" applyFont="1" applyFill="1" applyBorder="1" applyProtection="1"/>
    <xf numFmtId="0" fontId="21" fillId="4" borderId="3" xfId="0" applyFont="1" applyFill="1" applyBorder="1" applyProtection="1"/>
    <xf numFmtId="0" fontId="56" fillId="4" borderId="3" xfId="0" applyFont="1" applyFill="1" applyBorder="1" applyAlignment="1" applyProtection="1">
      <alignment horizontal="center"/>
    </xf>
    <xf numFmtId="179" fontId="60" fillId="4" borderId="1" xfId="0" applyNumberFormat="1" applyFont="1" applyFill="1" applyBorder="1" applyAlignment="1" applyProtection="1">
      <alignment horizontal="center"/>
    </xf>
    <xf numFmtId="0" fontId="58" fillId="4" borderId="3" xfId="0" applyFont="1" applyFill="1" applyBorder="1" applyProtection="1"/>
    <xf numFmtId="0" fontId="111" fillId="4" borderId="1" xfId="0" applyFont="1" applyFill="1" applyBorder="1" applyProtection="1"/>
    <xf numFmtId="182" fontId="60" fillId="4" borderId="1" xfId="0" applyNumberFormat="1" applyFont="1" applyFill="1" applyBorder="1" applyAlignment="1" applyProtection="1">
      <alignment horizontal="center"/>
    </xf>
    <xf numFmtId="0" fontId="58" fillId="4" borderId="1" xfId="0" applyFont="1" applyFill="1" applyBorder="1" applyAlignment="1" applyProtection="1">
      <alignment horizontal="center" vertical="center" wrapText="1"/>
    </xf>
    <xf numFmtId="0" fontId="58" fillId="0" borderId="0" xfId="0" applyFont="1" applyBorder="1" applyAlignment="1" applyProtection="1">
      <alignment wrapText="1"/>
    </xf>
    <xf numFmtId="0" fontId="21" fillId="11" borderId="0" xfId="0" applyFont="1" applyFill="1" applyProtection="1"/>
    <xf numFmtId="0" fontId="58" fillId="0" borderId="0" xfId="0" applyFont="1" applyBorder="1" applyAlignment="1" applyProtection="1"/>
    <xf numFmtId="0" fontId="58" fillId="0" borderId="0" xfId="0" applyFont="1" applyAlignment="1" applyProtection="1">
      <alignment horizontal="left"/>
    </xf>
    <xf numFmtId="0" fontId="58" fillId="8" borderId="1" xfId="0" applyFont="1" applyFill="1" applyBorder="1" applyAlignment="1" applyProtection="1">
      <alignment horizontal="center"/>
      <protection locked="0"/>
    </xf>
    <xf numFmtId="0" fontId="56" fillId="5" borderId="1" xfId="0" applyFont="1" applyFill="1" applyBorder="1" applyAlignment="1" applyProtection="1">
      <alignment horizontal="center"/>
      <protection locked="0"/>
    </xf>
    <xf numFmtId="179" fontId="58" fillId="5" borderId="5" xfId="0" applyNumberFormat="1" applyFont="1" applyFill="1" applyBorder="1" applyAlignment="1" applyProtection="1">
      <alignment horizontal="center"/>
      <protection locked="0"/>
    </xf>
    <xf numFmtId="179" fontId="60" fillId="5" borderId="1" xfId="0" applyNumberFormat="1" applyFont="1" applyFill="1" applyBorder="1" applyAlignment="1" applyProtection="1">
      <alignment horizontal="center"/>
      <protection locked="0"/>
    </xf>
    <xf numFmtId="179" fontId="60" fillId="8" borderId="1" xfId="0" applyNumberFormat="1" applyFont="1" applyFill="1" applyBorder="1" applyAlignment="1" applyProtection="1">
      <alignment horizontal="center"/>
      <protection locked="0"/>
    </xf>
    <xf numFmtId="0" fontId="58" fillId="0" borderId="0" xfId="0" applyFont="1" applyAlignment="1" applyProtection="1">
      <alignment horizontal="right"/>
    </xf>
    <xf numFmtId="0" fontId="83" fillId="5" borderId="1" xfId="0" applyFont="1" applyFill="1" applyBorder="1" applyProtection="1"/>
    <xf numFmtId="0" fontId="21" fillId="0" borderId="1" xfId="0" applyFont="1" applyBorder="1" applyProtection="1"/>
    <xf numFmtId="0" fontId="58" fillId="5" borderId="1" xfId="0" applyFont="1" applyFill="1" applyBorder="1" applyProtection="1"/>
    <xf numFmtId="176" fontId="58" fillId="4" borderId="1" xfId="0" applyNumberFormat="1" applyFont="1" applyFill="1" applyBorder="1" applyAlignment="1" applyProtection="1">
      <alignment horizontal="center"/>
    </xf>
    <xf numFmtId="179" fontId="105" fillId="4" borderId="1" xfId="0" applyNumberFormat="1" applyFont="1" applyFill="1" applyBorder="1" applyAlignment="1" applyProtection="1">
      <alignment horizontal="center"/>
    </xf>
    <xf numFmtId="0" fontId="105" fillId="4" borderId="1" xfId="0" applyFont="1" applyFill="1" applyBorder="1" applyProtection="1"/>
    <xf numFmtId="0" fontId="60" fillId="0" borderId="22" xfId="0" applyFont="1" applyBorder="1" applyAlignment="1" applyProtection="1">
      <alignment vertical="justify" wrapText="1"/>
    </xf>
    <xf numFmtId="0" fontId="60" fillId="0" borderId="0" xfId="0" applyFont="1" applyBorder="1" applyAlignment="1" applyProtection="1">
      <alignment vertical="justify" wrapText="1"/>
    </xf>
    <xf numFmtId="0" fontId="60" fillId="0" borderId="23" xfId="0" applyFont="1" applyBorder="1" applyAlignment="1" applyProtection="1">
      <alignment vertical="justify" wrapText="1"/>
    </xf>
    <xf numFmtId="0" fontId="58" fillId="0" borderId="0" xfId="0" applyFont="1" applyFill="1" applyBorder="1" applyAlignment="1" applyProtection="1"/>
    <xf numFmtId="0" fontId="56" fillId="0" borderId="1" xfId="0" applyFont="1" applyBorder="1" applyAlignment="1" applyProtection="1">
      <alignment horizontal="center"/>
      <protection locked="0"/>
    </xf>
    <xf numFmtId="0" fontId="21" fillId="0" borderId="0" xfId="0" applyFont="1" applyAlignment="1" applyProtection="1">
      <alignment horizontal="right"/>
    </xf>
    <xf numFmtId="0" fontId="58" fillId="4" borderId="5" xfId="0" applyFont="1" applyFill="1" applyBorder="1" applyAlignment="1" applyProtection="1">
      <alignment horizontal="center"/>
    </xf>
    <xf numFmtId="0" fontId="102" fillId="5" borderId="3" xfId="0" applyFont="1" applyFill="1" applyBorder="1" applyAlignment="1" applyProtection="1">
      <alignment horizontal="right"/>
    </xf>
    <xf numFmtId="0" fontId="58" fillId="0" borderId="0" xfId="0" applyFont="1" applyBorder="1" applyAlignment="1" applyProtection="1">
      <alignment vertical="top" wrapText="1"/>
    </xf>
    <xf numFmtId="0" fontId="21" fillId="0" borderId="0" xfId="0" applyFont="1" applyAlignment="1" applyProtection="1">
      <alignment horizontal="left"/>
    </xf>
    <xf numFmtId="0" fontId="21" fillId="11" borderId="1" xfId="0" applyFont="1" applyFill="1" applyBorder="1" applyProtection="1"/>
    <xf numFmtId="0" fontId="60" fillId="0" borderId="1" xfId="0" applyFont="1" applyBorder="1" applyProtection="1"/>
    <xf numFmtId="0" fontId="60" fillId="0" borderId="1" xfId="0" applyFont="1" applyFill="1" applyBorder="1" applyProtection="1"/>
    <xf numFmtId="0" fontId="58" fillId="4" borderId="5" xfId="0" applyFont="1" applyFill="1" applyBorder="1" applyAlignment="1" applyProtection="1">
      <alignment vertical="center" wrapText="1"/>
    </xf>
    <xf numFmtId="0" fontId="58" fillId="4" borderId="16" xfId="0" applyFont="1" applyFill="1" applyBorder="1" applyAlignment="1" applyProtection="1">
      <alignment vertical="center" wrapText="1"/>
    </xf>
    <xf numFmtId="0" fontId="21" fillId="0" borderId="29" xfId="0" applyFont="1" applyBorder="1" applyAlignment="1" applyProtection="1"/>
    <xf numFmtId="0" fontId="21" fillId="0" borderId="0" xfId="0" applyFont="1" applyBorder="1" applyAlignment="1" applyProtection="1"/>
    <xf numFmtId="0" fontId="21" fillId="0" borderId="29" xfId="0" applyFont="1" applyBorder="1" applyProtection="1"/>
    <xf numFmtId="0" fontId="21" fillId="0" borderId="0" xfId="0" applyFont="1" applyBorder="1" applyProtection="1"/>
    <xf numFmtId="179" fontId="105" fillId="5" borderId="1" xfId="0" applyNumberFormat="1" applyFont="1" applyFill="1" applyBorder="1" applyAlignment="1" applyProtection="1">
      <alignment horizontal="center"/>
      <protection locked="0"/>
    </xf>
    <xf numFmtId="184" fontId="105" fillId="5" borderId="1" xfId="0" applyNumberFormat="1" applyFont="1" applyFill="1" applyBorder="1" applyAlignment="1" applyProtection="1">
      <alignment horizontal="center"/>
      <protection locked="0"/>
    </xf>
    <xf numFmtId="179" fontId="50" fillId="8" borderId="1" xfId="0" applyNumberFormat="1" applyFont="1" applyFill="1" applyBorder="1" applyAlignment="1" applyProtection="1">
      <alignment horizontal="center"/>
      <protection locked="0"/>
    </xf>
    <xf numFmtId="182" fontId="50" fillId="5" borderId="1" xfId="0" applyNumberFormat="1" applyFont="1" applyFill="1" applyBorder="1" applyAlignment="1" applyProtection="1">
      <alignment horizontal="center"/>
      <protection locked="0"/>
    </xf>
    <xf numFmtId="0" fontId="116" fillId="12" borderId="1" xfId="0" applyFont="1" applyFill="1" applyBorder="1" applyAlignment="1" applyProtection="1">
      <alignment horizontal="center"/>
    </xf>
    <xf numFmtId="0" fontId="116" fillId="12" borderId="1" xfId="0" applyFont="1" applyFill="1" applyBorder="1" applyProtection="1"/>
    <xf numFmtId="184" fontId="87" fillId="0" borderId="0" xfId="0" applyNumberFormat="1" applyFont="1" applyBorder="1" applyAlignment="1" applyProtection="1">
      <alignment horizontal="center" vertical="center"/>
    </xf>
    <xf numFmtId="0" fontId="60" fillId="0" borderId="1" xfId="0" applyFont="1" applyFill="1" applyBorder="1" applyAlignment="1" applyProtection="1">
      <alignment horizontal="left"/>
    </xf>
    <xf numFmtId="0" fontId="60" fillId="4" borderId="1" xfId="0" applyFont="1" applyFill="1" applyBorder="1" applyAlignment="1" applyProtection="1">
      <alignment horizontal="left"/>
    </xf>
    <xf numFmtId="0" fontId="58" fillId="0" borderId="1" xfId="0" applyFont="1" applyFill="1" applyBorder="1" applyAlignment="1" applyProtection="1">
      <alignment horizontal="center"/>
    </xf>
    <xf numFmtId="176" fontId="105" fillId="4" borderId="1" xfId="0" applyNumberFormat="1" applyFont="1" applyFill="1" applyBorder="1" applyAlignment="1" applyProtection="1">
      <alignment horizontal="center"/>
    </xf>
    <xf numFmtId="176" fontId="56" fillId="4" borderId="1" xfId="0" applyNumberFormat="1" applyFont="1" applyFill="1" applyBorder="1" applyAlignment="1" applyProtection="1">
      <alignment horizontal="center"/>
    </xf>
    <xf numFmtId="179" fontId="56" fillId="4" borderId="1" xfId="0" applyNumberFormat="1" applyFont="1" applyFill="1" applyBorder="1" applyAlignment="1" applyProtection="1">
      <alignment horizontal="center"/>
    </xf>
    <xf numFmtId="0" fontId="58" fillId="4" borderId="1" xfId="0" applyFont="1" applyFill="1" applyBorder="1" applyAlignment="1" applyProtection="1">
      <alignment horizontal="left" vertical="center"/>
    </xf>
    <xf numFmtId="0" fontId="56" fillId="4" borderId="1" xfId="0" applyFont="1" applyFill="1" applyBorder="1" applyAlignment="1" applyProtection="1">
      <alignment horizontal="center"/>
    </xf>
    <xf numFmtId="0" fontId="56" fillId="4" borderId="1" xfId="0" applyFont="1" applyFill="1" applyBorder="1" applyAlignment="1" applyProtection="1">
      <alignment horizontal="left"/>
    </xf>
    <xf numFmtId="0" fontId="21" fillId="4" borderId="1" xfId="0" applyFont="1" applyFill="1" applyBorder="1" applyAlignment="1" applyProtection="1">
      <alignment horizontal="center" vertical="center" wrapText="1"/>
    </xf>
    <xf numFmtId="0" fontId="58" fillId="5" borderId="1" xfId="0" applyFont="1" applyFill="1" applyBorder="1" applyAlignment="1" applyProtection="1">
      <alignment horizontal="center"/>
      <protection locked="0"/>
    </xf>
    <xf numFmtId="0" fontId="60" fillId="0" borderId="0" xfId="0" applyFont="1" applyFill="1" applyBorder="1" applyProtection="1"/>
    <xf numFmtId="0" fontId="60" fillId="0" borderId="0" xfId="0" applyFont="1" applyBorder="1" applyAlignment="1" applyProtection="1">
      <alignment vertical="center"/>
    </xf>
    <xf numFmtId="0" fontId="21" fillId="4" borderId="0" xfId="0" applyFont="1" applyFill="1" applyBorder="1" applyAlignment="1" applyProtection="1">
      <alignment horizontal="center" vertical="center" wrapText="1"/>
    </xf>
    <xf numFmtId="0" fontId="56" fillId="4" borderId="0" xfId="0" applyFont="1" applyFill="1" applyBorder="1" applyAlignment="1" applyProtection="1">
      <alignment horizontal="center" vertical="center"/>
    </xf>
    <xf numFmtId="0" fontId="5" fillId="0" borderId="1" xfId="0" applyFont="1" applyBorder="1" applyAlignment="1" applyProtection="1">
      <alignment horizontal="center" wrapText="1"/>
    </xf>
    <xf numFmtId="0" fontId="127" fillId="0" borderId="1" xfId="0" applyFont="1" applyBorder="1" applyAlignment="1" applyProtection="1">
      <alignment horizontal="center" wrapText="1"/>
    </xf>
    <xf numFmtId="0" fontId="127" fillId="0" borderId="1" xfId="0" applyFont="1" applyBorder="1" applyAlignment="1" applyProtection="1">
      <alignment horizontal="center" vertical="top" wrapText="1"/>
    </xf>
    <xf numFmtId="0" fontId="58" fillId="4" borderId="6" xfId="0" applyFont="1" applyFill="1" applyBorder="1" applyAlignment="1" applyProtection="1">
      <alignment horizontal="left" vertical="center" wrapText="1"/>
    </xf>
    <xf numFmtId="0" fontId="21" fillId="4" borderId="6" xfId="0" applyFont="1" applyFill="1" applyBorder="1" applyAlignment="1" applyProtection="1">
      <alignment horizontal="left" vertical="center" wrapText="1"/>
    </xf>
    <xf numFmtId="182" fontId="50" fillId="4" borderId="1" xfId="0" applyNumberFormat="1" applyFont="1" applyFill="1" applyBorder="1" applyAlignment="1" applyProtection="1">
      <alignment horizontal="center"/>
    </xf>
    <xf numFmtId="0" fontId="58" fillId="4" borderId="6" xfId="0" applyFont="1" applyFill="1" applyBorder="1" applyAlignment="1" applyProtection="1">
      <alignment horizontal="left" vertical="center"/>
    </xf>
    <xf numFmtId="0" fontId="21" fillId="4" borderId="6" xfId="0" applyFont="1" applyFill="1" applyBorder="1" applyAlignment="1" applyProtection="1">
      <alignment horizontal="left" vertical="center"/>
    </xf>
    <xf numFmtId="179" fontId="58" fillId="5" borderId="1" xfId="0" applyNumberFormat="1" applyFont="1" applyFill="1" applyBorder="1" applyAlignment="1" applyProtection="1">
      <alignment horizontal="center"/>
      <protection locked="0"/>
    </xf>
    <xf numFmtId="182" fontId="105" fillId="5" borderId="1" xfId="0" applyNumberFormat="1" applyFont="1" applyFill="1" applyBorder="1" applyAlignment="1" applyProtection="1">
      <alignment horizontal="center"/>
      <protection locked="0"/>
    </xf>
    <xf numFmtId="179" fontId="50" fillId="5" borderId="1" xfId="0" applyNumberFormat="1" applyFont="1" applyFill="1" applyBorder="1" applyAlignment="1" applyProtection="1">
      <alignment horizontal="center"/>
      <protection locked="0"/>
    </xf>
    <xf numFmtId="0" fontId="21" fillId="4" borderId="1" xfId="0" applyNumberFormat="1" applyFont="1" applyFill="1" applyBorder="1" applyAlignment="1" applyProtection="1">
      <alignment vertical="center"/>
    </xf>
    <xf numFmtId="188" fontId="105" fillId="4" borderId="1" xfId="0" applyNumberFormat="1" applyFont="1" applyFill="1" applyBorder="1" applyAlignment="1" applyProtection="1">
      <alignment horizontal="center"/>
    </xf>
    <xf numFmtId="0" fontId="21" fillId="4" borderId="1" xfId="0" applyFont="1" applyFill="1" applyBorder="1" applyAlignment="1" applyProtection="1">
      <alignment vertical="center" wrapText="1"/>
    </xf>
    <xf numFmtId="0" fontId="47" fillId="4" borderId="1" xfId="0" applyFont="1" applyFill="1" applyBorder="1" applyAlignment="1" applyProtection="1">
      <alignment vertical="center" wrapText="1"/>
    </xf>
    <xf numFmtId="188" fontId="105" fillId="5" borderId="1" xfId="0" applyNumberFormat="1" applyFont="1" applyFill="1" applyBorder="1" applyAlignment="1" applyProtection="1">
      <alignment horizontal="center"/>
      <protection locked="0"/>
    </xf>
    <xf numFmtId="179" fontId="50" fillId="0" borderId="1" xfId="0" applyNumberFormat="1" applyFont="1" applyBorder="1" applyAlignment="1" applyProtection="1">
      <alignment horizontal="center"/>
      <protection locked="0"/>
    </xf>
    <xf numFmtId="0" fontId="83" fillId="4" borderId="1" xfId="0" applyFont="1" applyFill="1" applyBorder="1" applyAlignment="1" applyProtection="1">
      <alignment horizontal="center"/>
    </xf>
    <xf numFmtId="0" fontId="87" fillId="4" borderId="1" xfId="0" applyFont="1" applyFill="1" applyBorder="1" applyAlignment="1" applyProtection="1">
      <alignment horizontal="left" vertical="center"/>
    </xf>
    <xf numFmtId="0" fontId="50" fillId="4" borderId="1" xfId="0" applyFont="1" applyFill="1" applyBorder="1" applyAlignment="1" applyProtection="1">
      <alignment horizontal="center"/>
    </xf>
    <xf numFmtId="0" fontId="58" fillId="4" borderId="5" xfId="0" applyFont="1" applyFill="1" applyBorder="1" applyAlignment="1" applyProtection="1">
      <alignment vertical="center"/>
    </xf>
    <xf numFmtId="0" fontId="58" fillId="4" borderId="16" xfId="0" applyFont="1" applyFill="1" applyBorder="1" applyAlignment="1" applyProtection="1">
      <alignment vertical="center"/>
    </xf>
    <xf numFmtId="0" fontId="58" fillId="4" borderId="6" xfId="0" applyFont="1" applyFill="1" applyBorder="1" applyAlignment="1" applyProtection="1">
      <alignment vertical="center"/>
    </xf>
    <xf numFmtId="179" fontId="129" fillId="4" borderId="1" xfId="0" applyNumberFormat="1" applyFont="1" applyFill="1" applyBorder="1" applyAlignment="1" applyProtection="1">
      <alignment horizontal="center"/>
    </xf>
    <xf numFmtId="179" fontId="130" fillId="4" borderId="1" xfId="0" applyNumberFormat="1" applyFont="1" applyFill="1" applyBorder="1" applyAlignment="1" applyProtection="1">
      <alignment horizontal="center"/>
    </xf>
    <xf numFmtId="0" fontId="128" fillId="4" borderId="5" xfId="0" applyFont="1" applyFill="1" applyBorder="1" applyAlignment="1" applyProtection="1">
      <alignment vertical="center" wrapText="1"/>
    </xf>
    <xf numFmtId="0" fontId="128" fillId="4" borderId="16" xfId="0" applyFont="1" applyFill="1" applyBorder="1" applyAlignment="1" applyProtection="1">
      <alignment vertical="center" wrapText="1"/>
    </xf>
    <xf numFmtId="0" fontId="58" fillId="4" borderId="6" xfId="0" applyFont="1" applyFill="1" applyBorder="1" applyAlignment="1" applyProtection="1">
      <alignment vertical="center" wrapText="1"/>
    </xf>
    <xf numFmtId="0" fontId="56" fillId="4" borderId="1" xfId="0" applyFont="1" applyFill="1" applyBorder="1" applyProtection="1"/>
    <xf numFmtId="0" fontId="47" fillId="4" borderId="1" xfId="0" applyFont="1" applyFill="1" applyBorder="1" applyProtection="1"/>
    <xf numFmtId="179" fontId="58" fillId="4" borderId="3" xfId="0" applyNumberFormat="1" applyFont="1" applyFill="1" applyBorder="1" applyAlignment="1" applyProtection="1">
      <alignment horizontal="center"/>
    </xf>
    <xf numFmtId="0" fontId="58" fillId="4" borderId="1" xfId="0" applyFont="1" applyFill="1" applyBorder="1" applyAlignment="1" applyProtection="1">
      <alignment wrapText="1"/>
    </xf>
    <xf numFmtId="0" fontId="58" fillId="4" borderId="1" xfId="0" applyFont="1" applyFill="1" applyBorder="1" applyAlignment="1" applyProtection="1">
      <alignment horizontal="left" wrapText="1"/>
    </xf>
    <xf numFmtId="179" fontId="50" fillId="4" borderId="0" xfId="0" applyNumberFormat="1" applyFont="1" applyFill="1" applyAlignment="1" applyProtection="1">
      <alignment horizontal="center"/>
    </xf>
    <xf numFmtId="0" fontId="58" fillId="4" borderId="6" xfId="0" applyFont="1" applyFill="1" applyBorder="1" applyProtection="1"/>
    <xf numFmtId="0" fontId="44" fillId="0" borderId="0" xfId="0" applyFont="1" applyAlignment="1" applyProtection="1">
      <alignment horizontal="center"/>
    </xf>
    <xf numFmtId="0" fontId="79" fillId="0" borderId="0" xfId="0" applyFont="1" applyAlignment="1" applyProtection="1">
      <alignment horizontal="center"/>
    </xf>
    <xf numFmtId="0" fontId="21" fillId="0" borderId="1" xfId="0" applyFont="1" applyBorder="1" applyAlignment="1" applyProtection="1">
      <alignment horizontal="center"/>
      <protection locked="0"/>
    </xf>
    <xf numFmtId="0" fontId="105" fillId="0" borderId="1" xfId="0" applyFont="1" applyBorder="1" applyAlignment="1" applyProtection="1">
      <alignment horizontal="center"/>
      <protection locked="0"/>
    </xf>
    <xf numFmtId="179" fontId="58" fillId="5" borderId="3" xfId="0" applyNumberFormat="1" applyFont="1" applyFill="1" applyBorder="1" applyAlignment="1" applyProtection="1">
      <alignment horizontal="center"/>
      <protection locked="0"/>
    </xf>
    <xf numFmtId="179" fontId="43" fillId="7" borderId="1" xfId="0" applyNumberFormat="1" applyFont="1" applyFill="1" applyBorder="1" applyProtection="1"/>
    <xf numFmtId="0" fontId="43" fillId="0" borderId="0" xfId="0" applyFont="1" applyProtection="1"/>
    <xf numFmtId="0" fontId="47" fillId="0" borderId="0" xfId="0" applyFont="1" applyProtection="1"/>
    <xf numFmtId="0" fontId="0" fillId="7" borderId="1" xfId="0" applyFill="1" applyBorder="1" applyProtection="1"/>
    <xf numFmtId="0" fontId="46" fillId="0" borderId="1" xfId="0" applyFont="1" applyBorder="1" applyAlignment="1" applyProtection="1">
      <alignment horizontal="left"/>
      <protection locked="0"/>
    </xf>
    <xf numFmtId="0" fontId="119" fillId="0" borderId="0" xfId="4" applyFont="1" applyAlignment="1" applyProtection="1">
      <alignment vertical="center"/>
    </xf>
    <xf numFmtId="0" fontId="3" fillId="0" borderId="0" xfId="4" applyProtection="1">
      <alignment vertical="center"/>
    </xf>
    <xf numFmtId="0" fontId="123" fillId="8" borderId="1" xfId="4" applyFont="1" applyFill="1" applyBorder="1" applyProtection="1">
      <alignment vertical="center"/>
    </xf>
    <xf numFmtId="0" fontId="124" fillId="4" borderId="1" xfId="4" applyFont="1" applyFill="1" applyBorder="1" applyProtection="1">
      <alignment vertical="center"/>
    </xf>
    <xf numFmtId="0" fontId="123" fillId="4" borderId="1" xfId="4" applyFont="1" applyFill="1" applyBorder="1" applyAlignment="1" applyProtection="1">
      <alignment horizontal="right" vertical="center"/>
    </xf>
    <xf numFmtId="0" fontId="123" fillId="4" borderId="1" xfId="4" applyFont="1" applyFill="1" applyBorder="1" applyProtection="1">
      <alignment vertical="center"/>
    </xf>
    <xf numFmtId="11" fontId="120" fillId="0" borderId="0" xfId="4" applyNumberFormat="1" applyFont="1" applyProtection="1">
      <alignment vertical="center"/>
    </xf>
    <xf numFmtId="185" fontId="125" fillId="11" borderId="1" xfId="4" applyNumberFormat="1" applyFont="1" applyFill="1" applyBorder="1" applyProtection="1">
      <alignment vertical="center"/>
    </xf>
    <xf numFmtId="187" fontId="125" fillId="4" borderId="1" xfId="4" applyNumberFormat="1" applyFont="1" applyFill="1" applyBorder="1" applyProtection="1">
      <alignment vertical="center"/>
    </xf>
    <xf numFmtId="0" fontId="125" fillId="4" borderId="1" xfId="4" applyFont="1" applyFill="1" applyBorder="1" applyProtection="1">
      <alignment vertical="center"/>
    </xf>
    <xf numFmtId="0" fontId="120" fillId="0" borderId="29" xfId="4" applyFont="1" applyBorder="1" applyAlignment="1" applyProtection="1">
      <alignment vertical="top" wrapText="1"/>
    </xf>
    <xf numFmtId="0" fontId="120" fillId="0" borderId="0" xfId="4" applyFont="1" applyBorder="1" applyAlignment="1" applyProtection="1">
      <alignment vertical="top" wrapText="1"/>
    </xf>
    <xf numFmtId="186" fontId="120" fillId="0" borderId="0" xfId="4" applyNumberFormat="1" applyFont="1" applyProtection="1">
      <alignment vertical="center"/>
    </xf>
    <xf numFmtId="0" fontId="0" fillId="0" borderId="0" xfId="0" applyAlignment="1">
      <alignment horizontal="left"/>
    </xf>
    <xf numFmtId="0" fontId="0" fillId="8" borderId="1" xfId="0" applyFill="1" applyBorder="1" applyAlignment="1">
      <alignment horizontal="left"/>
    </xf>
    <xf numFmtId="0" fontId="0" fillId="8" borderId="5" xfId="0" applyFill="1" applyBorder="1"/>
    <xf numFmtId="0" fontId="0" fillId="8" borderId="16" xfId="0" applyFill="1" applyBorder="1"/>
    <xf numFmtId="0" fontId="0" fillId="8" borderId="6" xfId="0" applyFill="1" applyBorder="1"/>
    <xf numFmtId="0" fontId="7" fillId="0" borderId="0" xfId="0" applyFont="1" applyAlignment="1" applyProtection="1">
      <alignment vertical="top" wrapText="1"/>
    </xf>
    <xf numFmtId="0" fontId="7" fillId="4" borderId="1" xfId="0" applyFont="1" applyFill="1" applyBorder="1" applyAlignment="1" applyProtection="1">
      <alignment vertical="top" wrapText="1"/>
    </xf>
    <xf numFmtId="0" fontId="134" fillId="0" borderId="1" xfId="5" applyBorder="1" applyAlignment="1" applyProtection="1">
      <alignment horizontal="left"/>
    </xf>
    <xf numFmtId="0" fontId="135" fillId="0" borderId="1" xfId="5" applyFont="1" applyBorder="1" applyAlignment="1" applyProtection="1">
      <alignment horizontal="left"/>
    </xf>
    <xf numFmtId="0" fontId="134" fillId="0" borderId="1" xfId="5" quotePrefix="1" applyBorder="1" applyAlignment="1" applyProtection="1">
      <alignment horizontal="left"/>
    </xf>
    <xf numFmtId="0" fontId="106" fillId="4" borderId="1" xfId="0" applyFont="1" applyFill="1" applyBorder="1" applyProtection="1"/>
    <xf numFmtId="0" fontId="137" fillId="4" borderId="1" xfId="0" applyFont="1" applyFill="1" applyBorder="1" applyProtection="1"/>
    <xf numFmtId="0" fontId="138" fillId="0" borderId="1" xfId="0" applyFont="1" applyBorder="1" applyAlignment="1" applyProtection="1">
      <alignment horizontal="center"/>
      <protection locked="0"/>
    </xf>
    <xf numFmtId="0" fontId="138" fillId="4" borderId="1" xfId="0" applyFont="1" applyFill="1" applyBorder="1" applyProtection="1"/>
    <xf numFmtId="179" fontId="137" fillId="4" borderId="1" xfId="0" applyNumberFormat="1" applyFont="1" applyFill="1" applyBorder="1" applyAlignment="1" applyProtection="1">
      <alignment horizontal="center"/>
    </xf>
    <xf numFmtId="0" fontId="139" fillId="4" borderId="1" xfId="0" applyFont="1" applyFill="1" applyBorder="1" applyProtection="1"/>
    <xf numFmtId="0" fontId="56" fillId="4" borderId="6" xfId="0" applyFont="1" applyFill="1" applyBorder="1" applyProtection="1"/>
    <xf numFmtId="0" fontId="137" fillId="0" borderId="1" xfId="0" applyFont="1" applyBorder="1" applyAlignment="1" applyProtection="1">
      <alignment horizontal="center"/>
      <protection locked="0"/>
    </xf>
    <xf numFmtId="0" fontId="141" fillId="8" borderId="1" xfId="0" applyFont="1" applyFill="1" applyBorder="1" applyAlignment="1" applyProtection="1">
      <alignment horizontal="center"/>
      <protection locked="0"/>
    </xf>
    <xf numFmtId="0" fontId="58" fillId="4" borderId="0" xfId="0" applyFont="1" applyFill="1" applyProtection="1"/>
    <xf numFmtId="0" fontId="145" fillId="4" borderId="5" xfId="0" applyFont="1" applyFill="1" applyBorder="1" applyAlignment="1" applyProtection="1">
      <alignment vertical="center" wrapText="1"/>
    </xf>
    <xf numFmtId="0" fontId="58" fillId="4" borderId="1" xfId="0" applyFont="1" applyFill="1" applyBorder="1" applyAlignment="1" applyProtection="1">
      <alignment horizontal="center"/>
      <protection locked="0"/>
    </xf>
    <xf numFmtId="0" fontId="46" fillId="8" borderId="1" xfId="0" applyFont="1" applyFill="1" applyBorder="1" applyAlignment="1" applyProtection="1">
      <alignment horizontal="center"/>
      <protection locked="0"/>
    </xf>
    <xf numFmtId="0" fontId="105" fillId="0" borderId="0" xfId="0" applyFont="1" applyProtection="1"/>
    <xf numFmtId="179" fontId="58" fillId="4" borderId="1" xfId="0" applyNumberFormat="1" applyFont="1" applyFill="1" applyBorder="1" applyAlignment="1" applyProtection="1">
      <alignment horizontal="center"/>
      <protection locked="0"/>
    </xf>
    <xf numFmtId="0" fontId="21" fillId="4" borderId="6" xfId="0" applyFont="1" applyFill="1" applyBorder="1" applyAlignment="1" applyProtection="1">
      <alignment wrapText="1"/>
    </xf>
    <xf numFmtId="0" fontId="58" fillId="4" borderId="1" xfId="0" applyFont="1" applyFill="1" applyBorder="1" applyAlignment="1" applyProtection="1">
      <alignment vertical="center" wrapText="1"/>
    </xf>
    <xf numFmtId="0" fontId="58" fillId="4" borderId="1" xfId="0" applyFont="1" applyFill="1" applyBorder="1" applyAlignment="1" applyProtection="1"/>
    <xf numFmtId="0" fontId="58" fillId="0" borderId="0" xfId="0" applyFont="1" applyAlignment="1" applyProtection="1"/>
    <xf numFmtId="0" fontId="149" fillId="4" borderId="1" xfId="0" applyFont="1" applyFill="1" applyBorder="1" applyProtection="1"/>
    <xf numFmtId="0" fontId="150" fillId="4" borderId="1" xfId="0" applyFont="1" applyFill="1" applyBorder="1" applyProtection="1"/>
    <xf numFmtId="0" fontId="58" fillId="4" borderId="6" xfId="0" applyFont="1" applyFill="1" applyBorder="1" applyAlignment="1" applyProtection="1">
      <alignment horizontal="left" vertical="center" wrapText="1"/>
    </xf>
    <xf numFmtId="0" fontId="21" fillId="4" borderId="6" xfId="0" applyFont="1" applyFill="1" applyBorder="1" applyAlignment="1" applyProtection="1">
      <alignment horizontal="left" vertical="center" wrapText="1"/>
    </xf>
    <xf numFmtId="0" fontId="58" fillId="4" borderId="1" xfId="0" applyFont="1" applyFill="1" applyBorder="1" applyAlignment="1" applyProtection="1">
      <alignment vertical="center" wrapText="1"/>
    </xf>
    <xf numFmtId="0" fontId="21" fillId="4" borderId="6" xfId="0" applyFont="1" applyFill="1" applyBorder="1" applyAlignment="1" applyProtection="1">
      <alignment horizontal="left" vertical="center"/>
    </xf>
    <xf numFmtId="0" fontId="58" fillId="4" borderId="1" xfId="0" applyFont="1" applyFill="1" applyBorder="1" applyAlignment="1" applyProtection="1">
      <alignment horizontal="left" vertical="center" wrapText="1"/>
    </xf>
    <xf numFmtId="0" fontId="21" fillId="4" borderId="6" xfId="0" applyFont="1" applyFill="1" applyBorder="1" applyAlignment="1" applyProtection="1">
      <alignment horizontal="left" vertical="center" wrapText="1"/>
    </xf>
    <xf numFmtId="0" fontId="58" fillId="5" borderId="1" xfId="0" applyFont="1" applyFill="1" applyBorder="1" applyAlignment="1" applyProtection="1">
      <alignment horizontal="center"/>
    </xf>
    <xf numFmtId="0" fontId="58" fillId="4" borderId="1" xfId="0" applyNumberFormat="1" applyFont="1" applyFill="1" applyBorder="1" applyAlignment="1" applyProtection="1">
      <alignment horizontal="center"/>
    </xf>
    <xf numFmtId="0" fontId="58" fillId="0" borderId="1" xfId="0" applyFont="1" applyFill="1" applyBorder="1" applyAlignment="1" applyProtection="1">
      <alignment horizontal="center"/>
      <protection locked="0"/>
    </xf>
    <xf numFmtId="0" fontId="50" fillId="0" borderId="1" xfId="0" applyFont="1" applyFill="1" applyBorder="1" applyAlignment="1" applyProtection="1">
      <alignment horizontal="center"/>
      <protection locked="0"/>
    </xf>
    <xf numFmtId="0" fontId="50" fillId="4" borderId="1" xfId="0" applyFont="1" applyFill="1" applyBorder="1" applyAlignment="1" applyProtection="1">
      <alignment horizontal="center"/>
      <protection locked="0"/>
    </xf>
    <xf numFmtId="0" fontId="56" fillId="4" borderId="1" xfId="0" applyFont="1" applyFill="1" applyBorder="1" applyAlignment="1" applyProtection="1">
      <alignment horizontal="center"/>
      <protection locked="0"/>
    </xf>
    <xf numFmtId="0" fontId="5" fillId="0" borderId="1" xfId="3" applyBorder="1" applyAlignment="1">
      <alignment horizontal="center" vertical="center"/>
    </xf>
    <xf numFmtId="0" fontId="21" fillId="4" borderId="1" xfId="0" applyFont="1" applyFill="1" applyBorder="1" applyAlignment="1" applyProtection="1">
      <alignment horizontal="left"/>
    </xf>
    <xf numFmtId="0" fontId="56" fillId="4" borderId="5" xfId="0" applyFont="1" applyFill="1" applyBorder="1" applyAlignment="1" applyProtection="1">
      <alignment horizontal="center"/>
      <protection locked="0"/>
    </xf>
    <xf numFmtId="0" fontId="58" fillId="4" borderId="6" xfId="0" applyFont="1" applyFill="1" applyBorder="1" applyAlignment="1" applyProtection="1">
      <alignment horizontal="left"/>
    </xf>
    <xf numFmtId="179" fontId="155" fillId="4" borderId="1" xfId="3" applyNumberFormat="1" applyFont="1" applyFill="1" applyBorder="1" applyAlignment="1">
      <alignment horizontal="center" vertical="center"/>
    </xf>
    <xf numFmtId="179" fontId="105" fillId="4" borderId="6" xfId="0" applyNumberFormat="1" applyFont="1" applyFill="1" applyBorder="1" applyAlignment="1" applyProtection="1">
      <alignment horizontal="center"/>
    </xf>
    <xf numFmtId="0" fontId="58" fillId="4" borderId="1" xfId="0" applyFont="1" applyFill="1" applyBorder="1" applyAlignment="1" applyProtection="1">
      <alignment vertical="center"/>
    </xf>
    <xf numFmtId="11" fontId="105" fillId="4" borderId="1" xfId="0" applyNumberFormat="1" applyFont="1" applyFill="1" applyBorder="1" applyAlignment="1" applyProtection="1">
      <alignment horizontal="center"/>
    </xf>
    <xf numFmtId="0" fontId="155" fillId="4" borderId="1" xfId="3" applyFont="1" applyFill="1" applyBorder="1" applyAlignment="1">
      <alignment horizontal="center" vertical="center"/>
    </xf>
    <xf numFmtId="0" fontId="155" fillId="4" borderId="1" xfId="3" applyFont="1" applyFill="1" applyBorder="1" applyAlignment="1">
      <alignment horizontal="left" vertical="center"/>
    </xf>
    <xf numFmtId="0" fontId="105" fillId="4" borderId="5" xfId="0" applyNumberFormat="1" applyFont="1" applyFill="1" applyBorder="1" applyAlignment="1" applyProtection="1">
      <alignment horizontal="center"/>
    </xf>
    <xf numFmtId="0" fontId="21" fillId="4" borderId="5" xfId="0" applyFont="1" applyFill="1" applyBorder="1" applyProtection="1"/>
    <xf numFmtId="0" fontId="58" fillId="4" borderId="5" xfId="0" applyFont="1" applyFill="1" applyBorder="1" applyAlignment="1" applyProtection="1">
      <alignment vertical="center" wrapText="1"/>
    </xf>
    <xf numFmtId="0" fontId="58" fillId="4" borderId="16" xfId="0" applyFont="1" applyFill="1" applyBorder="1" applyAlignment="1" applyProtection="1">
      <alignment vertical="center" wrapText="1"/>
    </xf>
    <xf numFmtId="0" fontId="58" fillId="4" borderId="6" xfId="0" applyFont="1" applyFill="1" applyBorder="1" applyAlignment="1" applyProtection="1">
      <alignment vertical="center" wrapText="1"/>
    </xf>
    <xf numFmtId="0" fontId="21" fillId="4" borderId="5" xfId="0" applyFont="1" applyFill="1" applyBorder="1" applyAlignment="1" applyProtection="1">
      <alignment vertical="center" wrapText="1"/>
    </xf>
    <xf numFmtId="0" fontId="50" fillId="5" borderId="1" xfId="0" applyFont="1" applyFill="1" applyBorder="1" applyAlignment="1" applyProtection="1">
      <alignment horizontal="center"/>
      <protection locked="0"/>
    </xf>
    <xf numFmtId="0" fontId="105" fillId="8" borderId="1" xfId="0" applyFont="1" applyFill="1" applyBorder="1" applyAlignment="1" applyProtection="1">
      <alignment horizontal="center"/>
      <protection locked="0"/>
    </xf>
    <xf numFmtId="0" fontId="58" fillId="5" borderId="1" xfId="0" applyNumberFormat="1" applyFont="1" applyFill="1" applyBorder="1" applyAlignment="1" applyProtection="1">
      <alignment horizontal="center"/>
    </xf>
    <xf numFmtId="188" fontId="58" fillId="4" borderId="1" xfId="0" applyNumberFormat="1" applyFont="1" applyFill="1" applyBorder="1" applyAlignment="1" applyProtection="1">
      <alignment horizontal="center"/>
    </xf>
    <xf numFmtId="0" fontId="58" fillId="4" borderId="5" xfId="0" applyFont="1" applyFill="1" applyBorder="1" applyAlignment="1" applyProtection="1"/>
    <xf numFmtId="0" fontId="58" fillId="4" borderId="1" xfId="0" applyFont="1" applyFill="1" applyBorder="1" applyAlignment="1" applyProtection="1">
      <alignment horizontal="left" wrapText="1"/>
    </xf>
    <xf numFmtId="0" fontId="58" fillId="0" borderId="0" xfId="0" applyFont="1" applyBorder="1" applyAlignment="1" applyProtection="1">
      <alignment horizontal="left" vertical="top" wrapText="1"/>
    </xf>
    <xf numFmtId="0" fontId="58" fillId="4" borderId="6" xfId="0" applyFont="1" applyFill="1" applyBorder="1" applyAlignment="1" applyProtection="1">
      <alignment horizontal="left" vertical="center"/>
    </xf>
    <xf numFmtId="0" fontId="58" fillId="4" borderId="1" xfId="0" applyFont="1" applyFill="1" applyBorder="1" applyAlignment="1" applyProtection="1">
      <alignment vertical="center" wrapText="1"/>
    </xf>
    <xf numFmtId="0" fontId="58" fillId="4" borderId="5" xfId="0" applyFont="1" applyFill="1" applyBorder="1" applyAlignment="1" applyProtection="1">
      <alignment vertical="center" wrapText="1"/>
    </xf>
    <xf numFmtId="0" fontId="105" fillId="5" borderId="1" xfId="0" applyNumberFormat="1" applyFont="1" applyFill="1" applyBorder="1" applyAlignment="1" applyProtection="1">
      <alignment horizontal="center"/>
    </xf>
    <xf numFmtId="179" fontId="58" fillId="4" borderId="1" xfId="0" applyNumberFormat="1" applyFont="1" applyFill="1" applyBorder="1" applyAlignment="1" applyProtection="1">
      <alignment horizontal="center" wrapText="1"/>
    </xf>
    <xf numFmtId="179" fontId="108" fillId="4" borderId="1" xfId="0" applyNumberFormat="1" applyFont="1" applyFill="1" applyBorder="1" applyAlignment="1" applyProtection="1">
      <alignment horizontal="center"/>
    </xf>
    <xf numFmtId="179" fontId="108" fillId="5" borderId="1" xfId="0" applyNumberFormat="1" applyFont="1" applyFill="1" applyBorder="1" applyAlignment="1" applyProtection="1">
      <alignment horizontal="center"/>
    </xf>
    <xf numFmtId="0" fontId="158" fillId="4" borderId="1" xfId="0" applyFont="1" applyFill="1" applyBorder="1" applyProtection="1"/>
    <xf numFmtId="0" fontId="58" fillId="0" borderId="29" xfId="0" applyFont="1" applyBorder="1" applyAlignment="1" applyProtection="1">
      <alignment vertical="top" wrapText="1"/>
    </xf>
    <xf numFmtId="0" fontId="58" fillId="0" borderId="58" xfId="0" applyFont="1" applyBorder="1" applyAlignment="1" applyProtection="1">
      <alignment vertical="top" wrapText="1"/>
    </xf>
    <xf numFmtId="0" fontId="58" fillId="0" borderId="28" xfId="0" applyFont="1" applyBorder="1" applyAlignment="1" applyProtection="1">
      <alignment vertical="top" wrapText="1"/>
    </xf>
    <xf numFmtId="0" fontId="58" fillId="0" borderId="2" xfId="0" applyFont="1" applyBorder="1" applyAlignment="1" applyProtection="1">
      <alignment vertical="top" wrapText="1"/>
    </xf>
    <xf numFmtId="0" fontId="58" fillId="0" borderId="18" xfId="0" applyFont="1" applyBorder="1" applyAlignment="1" applyProtection="1">
      <alignment vertical="top" wrapText="1"/>
    </xf>
    <xf numFmtId="0" fontId="60" fillId="0" borderId="29" xfId="0" applyFont="1" applyBorder="1" applyAlignment="1" applyProtection="1">
      <alignment vertical="top" wrapText="1"/>
    </xf>
    <xf numFmtId="0" fontId="60" fillId="0" borderId="0" xfId="0" applyFont="1" applyBorder="1" applyAlignment="1" applyProtection="1">
      <alignment vertical="top" wrapText="1"/>
    </xf>
    <xf numFmtId="0" fontId="21" fillId="4" borderId="6" xfId="0" applyFont="1" applyFill="1" applyBorder="1" applyAlignment="1" applyProtection="1">
      <alignment horizontal="left" vertical="center"/>
    </xf>
    <xf numFmtId="0" fontId="160" fillId="4" borderId="1" xfId="0" applyFont="1" applyFill="1" applyBorder="1" applyProtection="1"/>
    <xf numFmtId="0" fontId="21" fillId="4" borderId="1" xfId="0" applyFont="1" applyFill="1" applyBorder="1" applyAlignment="1" applyProtection="1"/>
    <xf numFmtId="0" fontId="60" fillId="0" borderId="15" xfId="0" applyFont="1" applyBorder="1" applyAlignment="1" applyProtection="1">
      <alignment horizontal="center" vertical="justify" wrapText="1"/>
    </xf>
    <xf numFmtId="0" fontId="58" fillId="0" borderId="0" xfId="0" applyFont="1" applyBorder="1" applyAlignment="1" applyProtection="1">
      <alignment horizontal="left" vertical="center"/>
    </xf>
    <xf numFmtId="0" fontId="60" fillId="0" borderId="5" xfId="0" applyFont="1" applyBorder="1" applyAlignment="1" applyProtection="1">
      <alignment horizontal="left" vertical="justify" wrapText="1"/>
    </xf>
    <xf numFmtId="0" fontId="21" fillId="0" borderId="3" xfId="0" applyFont="1" applyBorder="1" applyAlignment="1" applyProtection="1">
      <alignment horizontal="left" vertical="center" wrapText="1"/>
    </xf>
    <xf numFmtId="0" fontId="21" fillId="0" borderId="15" xfId="0" applyFont="1" applyBorder="1" applyAlignment="1" applyProtection="1">
      <alignment horizontal="left" vertical="center" wrapText="1"/>
    </xf>
    <xf numFmtId="0" fontId="60" fillId="0" borderId="4" xfId="0" applyFont="1" applyBorder="1" applyAlignment="1" applyProtection="1">
      <alignment horizontal="center" vertical="justify" wrapText="1"/>
    </xf>
    <xf numFmtId="0" fontId="21" fillId="4" borderId="5" xfId="0" applyFont="1" applyFill="1" applyBorder="1" applyAlignment="1" applyProtection="1">
      <alignment vertical="center"/>
    </xf>
    <xf numFmtId="0" fontId="21" fillId="4" borderId="16" xfId="0" applyFont="1" applyFill="1" applyBorder="1" applyAlignment="1" applyProtection="1">
      <alignment vertical="center"/>
    </xf>
    <xf numFmtId="0" fontId="58" fillId="4" borderId="1" xfId="0" applyFont="1" applyFill="1" applyBorder="1" applyAlignment="1" applyProtection="1">
      <alignment horizontal="center"/>
    </xf>
    <xf numFmtId="0" fontId="21" fillId="4" borderId="1" xfId="0" applyFont="1" applyFill="1" applyBorder="1" applyAlignment="1" applyProtection="1">
      <alignment vertical="center"/>
    </xf>
    <xf numFmtId="0" fontId="58" fillId="0" borderId="0" xfId="0" applyFont="1" applyBorder="1" applyAlignment="1" applyProtection="1">
      <alignment horizontal="center" vertical="justify" wrapText="1"/>
    </xf>
    <xf numFmtId="0" fontId="21" fillId="0" borderId="0" xfId="0" applyFont="1" applyBorder="1" applyAlignment="1" applyProtection="1">
      <alignment horizontal="left" vertical="justify" wrapText="1"/>
    </xf>
    <xf numFmtId="0" fontId="21" fillId="0" borderId="29" xfId="0" applyFont="1" applyBorder="1" applyAlignment="1" applyProtection="1">
      <alignment horizontal="center" vertical="center" wrapText="1"/>
    </xf>
    <xf numFmtId="0" fontId="22" fillId="0" borderId="0" xfId="7" applyFont="1" applyBorder="1" applyAlignment="1">
      <alignment vertical="center"/>
    </xf>
    <xf numFmtId="0" fontId="6" fillId="4" borderId="59" xfId="7" applyFont="1" applyFill="1" applyBorder="1" applyAlignment="1">
      <alignment horizontal="center" vertical="center" shrinkToFit="1"/>
    </xf>
    <xf numFmtId="0" fontId="21" fillId="4" borderId="59" xfId="0" applyFont="1" applyFill="1" applyBorder="1" applyProtection="1"/>
    <xf numFmtId="0" fontId="0" fillId="4" borderId="59" xfId="0" applyFill="1" applyBorder="1" applyAlignment="1" applyProtection="1">
      <alignment horizontal="center" vertical="center"/>
    </xf>
    <xf numFmtId="0" fontId="167" fillId="4" borderId="59" xfId="0" applyFont="1" applyFill="1" applyBorder="1" applyAlignment="1" applyProtection="1">
      <alignment horizontal="center" vertical="center"/>
    </xf>
    <xf numFmtId="176" fontId="0" fillId="4" borderId="59" xfId="0" applyNumberFormat="1" applyFill="1" applyBorder="1" applyAlignment="1" applyProtection="1">
      <alignment horizontal="center" vertical="center"/>
    </xf>
    <xf numFmtId="176" fontId="43" fillId="4" borderId="59" xfId="0" applyNumberFormat="1" applyFont="1" applyFill="1" applyBorder="1" applyAlignment="1" applyProtection="1">
      <alignment horizontal="center" vertical="center"/>
    </xf>
    <xf numFmtId="176" fontId="56" fillId="4" borderId="59" xfId="0" applyNumberFormat="1" applyFont="1" applyFill="1" applyBorder="1" applyAlignment="1" applyProtection="1">
      <alignment horizontal="center" vertical="center"/>
    </xf>
    <xf numFmtId="0" fontId="82" fillId="4" borderId="59" xfId="0" applyFont="1" applyFill="1" applyBorder="1" applyAlignment="1" applyProtection="1">
      <alignment horizontal="center" vertical="center"/>
    </xf>
    <xf numFmtId="0" fontId="0" fillId="0" borderId="59" xfId="0" applyBorder="1" applyProtection="1"/>
    <xf numFmtId="176" fontId="172" fillId="4" borderId="59" xfId="0" applyNumberFormat="1" applyFont="1" applyFill="1" applyBorder="1" applyAlignment="1" applyProtection="1">
      <alignment horizontal="center" vertical="center"/>
    </xf>
    <xf numFmtId="0" fontId="50" fillId="4" borderId="1" xfId="0" applyNumberFormat="1" applyFont="1" applyFill="1" applyBorder="1" applyAlignment="1" applyProtection="1">
      <alignment horizontal="center"/>
    </xf>
    <xf numFmtId="0" fontId="58" fillId="4" borderId="1" xfId="0" applyFont="1" applyFill="1" applyBorder="1" applyAlignment="1" applyProtection="1">
      <alignment horizontal="center" vertical="center"/>
    </xf>
    <xf numFmtId="0" fontId="21" fillId="4" borderId="61" xfId="0" applyFont="1" applyFill="1" applyBorder="1" applyAlignment="1" applyProtection="1">
      <alignment horizontal="center" vertical="center"/>
    </xf>
    <xf numFmtId="0" fontId="21" fillId="4" borderId="61" xfId="0" applyFont="1" applyFill="1" applyBorder="1" applyAlignment="1" applyProtection="1">
      <alignment horizontal="center" vertical="center" wrapText="1"/>
    </xf>
    <xf numFmtId="0" fontId="21" fillId="4" borderId="59" xfId="0" applyFont="1" applyFill="1" applyBorder="1" applyAlignment="1" applyProtection="1">
      <alignment horizontal="center" vertical="center"/>
    </xf>
    <xf numFmtId="0" fontId="0" fillId="4" borderId="64" xfId="0" applyFill="1" applyBorder="1" applyAlignment="1" applyProtection="1">
      <alignment horizontal="center" vertical="center"/>
    </xf>
    <xf numFmtId="176" fontId="0" fillId="4" borderId="64" xfId="0" applyNumberFormat="1" applyFill="1" applyBorder="1" applyAlignment="1" applyProtection="1">
      <alignment horizontal="center" vertical="center"/>
    </xf>
    <xf numFmtId="176" fontId="43" fillId="4" borderId="6" xfId="0" applyNumberFormat="1" applyFont="1" applyFill="1" applyBorder="1" applyAlignment="1" applyProtection="1">
      <alignment horizontal="center" vertical="center"/>
    </xf>
    <xf numFmtId="176" fontId="56" fillId="4" borderId="6" xfId="0" applyNumberFormat="1" applyFont="1" applyFill="1" applyBorder="1" applyAlignment="1" applyProtection="1">
      <alignment horizontal="center" vertical="center"/>
    </xf>
    <xf numFmtId="0" fontId="58" fillId="4" borderId="59" xfId="0" applyFont="1" applyFill="1" applyBorder="1" applyProtection="1"/>
    <xf numFmtId="0" fontId="83" fillId="3" borderId="59" xfId="0" applyFont="1" applyFill="1" applyBorder="1" applyProtection="1"/>
    <xf numFmtId="0" fontId="0" fillId="0" borderId="0" xfId="0" applyFill="1" applyBorder="1" applyProtection="1"/>
    <xf numFmtId="189" fontId="0" fillId="0" borderId="0" xfId="0" applyNumberFormat="1" applyAlignment="1" applyProtection="1">
      <alignment horizontal="center" vertical="center"/>
    </xf>
    <xf numFmtId="0" fontId="0" fillId="0" borderId="0" xfId="0" applyBorder="1" applyAlignment="1" applyProtection="1">
      <alignment vertical="top" wrapText="1"/>
    </xf>
    <xf numFmtId="0" fontId="83" fillId="0" borderId="0" xfId="0" applyFont="1" applyBorder="1" applyAlignment="1" applyProtection="1">
      <alignment horizontal="left" vertical="center" wrapText="1"/>
    </xf>
    <xf numFmtId="189" fontId="0" fillId="0" borderId="0" xfId="0" applyNumberFormat="1" applyAlignment="1" applyProtection="1">
      <alignment horizontal="left" vertical="center"/>
    </xf>
    <xf numFmtId="0" fontId="105" fillId="4" borderId="5" xfId="0" applyFont="1" applyFill="1" applyBorder="1" applyProtection="1"/>
    <xf numFmtId="189" fontId="21" fillId="0" borderId="0" xfId="0" applyNumberFormat="1" applyFont="1" applyAlignment="1" applyProtection="1">
      <alignment horizontal="left" vertical="center"/>
    </xf>
    <xf numFmtId="0" fontId="0" fillId="5" borderId="0" xfId="0" applyFill="1" applyBorder="1" applyProtection="1"/>
    <xf numFmtId="0" fontId="172" fillId="0" borderId="0" xfId="0" applyFont="1" applyProtection="1"/>
    <xf numFmtId="0" fontId="58" fillId="0" borderId="64" xfId="0" applyFont="1" applyBorder="1" applyAlignment="1" applyProtection="1">
      <alignment horizontal="center"/>
      <protection locked="0"/>
    </xf>
    <xf numFmtId="58" fontId="43" fillId="0" borderId="59" xfId="0" applyNumberFormat="1" applyFont="1" applyBorder="1" applyAlignment="1" applyProtection="1">
      <alignment horizontal="center"/>
    </xf>
    <xf numFmtId="0" fontId="50" fillId="0" borderId="59" xfId="0" applyFont="1" applyBorder="1" applyAlignment="1" applyProtection="1">
      <alignment horizontal="center"/>
    </xf>
    <xf numFmtId="0" fontId="50" fillId="0" borderId="1" xfId="0" applyFont="1" applyBorder="1" applyAlignment="1" applyProtection="1">
      <alignment horizontal="center"/>
    </xf>
    <xf numFmtId="0" fontId="21" fillId="4" borderId="68" xfId="0" applyFont="1" applyFill="1" applyBorder="1" applyAlignment="1" applyProtection="1">
      <alignment vertical="center"/>
    </xf>
    <xf numFmtId="0" fontId="58" fillId="5" borderId="3" xfId="0" applyFont="1" applyFill="1" applyBorder="1" applyAlignment="1" applyProtection="1"/>
    <xf numFmtId="0" fontId="58" fillId="5" borderId="28" xfId="0" applyFont="1" applyFill="1" applyBorder="1" applyAlignment="1" applyProtection="1"/>
    <xf numFmtId="0" fontId="58" fillId="3" borderId="3" xfId="0" applyFont="1" applyFill="1" applyBorder="1" applyAlignment="1" applyProtection="1"/>
    <xf numFmtId="0" fontId="58" fillId="4" borderId="1" xfId="0" applyFont="1" applyFill="1" applyBorder="1" applyAlignment="1" applyProtection="1">
      <alignment horizontal="right"/>
    </xf>
    <xf numFmtId="0" fontId="82" fillId="4" borderId="1" xfId="0" applyFont="1" applyFill="1" applyBorder="1" applyProtection="1"/>
    <xf numFmtId="0" fontId="0" fillId="4" borderId="1" xfId="0" applyFill="1" applyBorder="1" applyAlignment="1" applyProtection="1">
      <alignment horizontal="center"/>
    </xf>
    <xf numFmtId="179" fontId="56" fillId="4" borderId="64" xfId="0" applyNumberFormat="1" applyFont="1" applyFill="1" applyBorder="1" applyAlignment="1" applyProtection="1">
      <alignment horizontal="center"/>
    </xf>
    <xf numFmtId="0" fontId="43" fillId="5" borderId="6" xfId="0" applyFont="1" applyFill="1" applyBorder="1" applyAlignment="1" applyProtection="1">
      <alignment horizontal="center"/>
    </xf>
    <xf numFmtId="0" fontId="43" fillId="5" borderId="28" xfId="0" applyFont="1" applyFill="1" applyBorder="1" applyAlignment="1" applyProtection="1">
      <alignment horizontal="center"/>
    </xf>
    <xf numFmtId="0" fontId="43" fillId="5" borderId="1" xfId="0" applyFont="1" applyFill="1" applyBorder="1" applyAlignment="1" applyProtection="1">
      <alignment horizontal="center"/>
    </xf>
    <xf numFmtId="0" fontId="43" fillId="5" borderId="59" xfId="0" applyFont="1" applyFill="1" applyBorder="1" applyAlignment="1" applyProtection="1">
      <alignment horizontal="center"/>
    </xf>
    <xf numFmtId="0" fontId="43" fillId="5" borderId="64" xfId="0" applyFont="1" applyFill="1" applyBorder="1" applyAlignment="1" applyProtection="1">
      <alignment horizontal="center"/>
    </xf>
    <xf numFmtId="0" fontId="43" fillId="3" borderId="59" xfId="0" applyFont="1" applyFill="1" applyBorder="1" applyAlignment="1" applyProtection="1">
      <alignment horizontal="center"/>
    </xf>
    <xf numFmtId="0" fontId="43" fillId="3" borderId="64" xfId="0" applyFont="1" applyFill="1" applyBorder="1" applyAlignment="1" applyProtection="1">
      <alignment horizontal="center"/>
    </xf>
    <xf numFmtId="0" fontId="43" fillId="3" borderId="1" xfId="0" applyFont="1" applyFill="1" applyBorder="1" applyAlignment="1" applyProtection="1">
      <alignment horizontal="center"/>
    </xf>
    <xf numFmtId="0" fontId="0" fillId="0" borderId="1" xfId="0" applyFont="1" applyBorder="1" applyProtection="1"/>
    <xf numFmtId="0" fontId="0" fillId="14" borderId="1" xfId="0" applyFill="1" applyBorder="1" applyProtection="1"/>
    <xf numFmtId="0" fontId="21" fillId="14" borderId="1" xfId="0" applyFont="1" applyFill="1" applyBorder="1" applyProtection="1"/>
    <xf numFmtId="179" fontId="58" fillId="4" borderId="1" xfId="0" applyNumberFormat="1" applyFont="1" applyFill="1" applyBorder="1" applyAlignment="1" applyProtection="1">
      <alignment horizontal="left"/>
    </xf>
    <xf numFmtId="188" fontId="0" fillId="4" borderId="1" xfId="0" applyNumberFormat="1" applyFill="1" applyBorder="1" applyAlignment="1" applyProtection="1">
      <alignment horizontal="center"/>
    </xf>
    <xf numFmtId="0" fontId="85" fillId="4" borderId="6" xfId="0" applyFont="1" applyFill="1" applyBorder="1" applyAlignment="1" applyProtection="1">
      <alignment horizontal="left" vertical="center"/>
    </xf>
    <xf numFmtId="188" fontId="43" fillId="4" borderId="1" xfId="0" applyNumberFormat="1" applyFont="1" applyFill="1" applyBorder="1" applyAlignment="1" applyProtection="1">
      <alignment horizontal="center"/>
    </xf>
    <xf numFmtId="188" fontId="46" fillId="4" borderId="1" xfId="0" applyNumberFormat="1" applyFont="1" applyFill="1" applyBorder="1" applyAlignment="1" applyProtection="1">
      <alignment horizontal="center"/>
    </xf>
    <xf numFmtId="0" fontId="21" fillId="0" borderId="0" xfId="0" applyFont="1" applyBorder="1" applyAlignment="1" applyProtection="1">
      <alignment horizontal="left"/>
    </xf>
    <xf numFmtId="0" fontId="0" fillId="0" borderId="0" xfId="0" applyAlignment="1" applyProtection="1">
      <alignment horizontal="right"/>
    </xf>
    <xf numFmtId="0" fontId="58" fillId="4" borderId="65" xfId="0" applyFont="1" applyFill="1" applyBorder="1" applyProtection="1"/>
    <xf numFmtId="0" fontId="56" fillId="4" borderId="65" xfId="0" applyFont="1" applyFill="1" applyBorder="1" applyProtection="1"/>
    <xf numFmtId="0" fontId="105" fillId="4" borderId="65" xfId="0" applyFont="1" applyFill="1" applyBorder="1" applyProtection="1"/>
    <xf numFmtId="0" fontId="106" fillId="4" borderId="6" xfId="0" applyFont="1" applyFill="1" applyBorder="1" applyAlignment="1" applyProtection="1">
      <alignment vertical="center"/>
    </xf>
    <xf numFmtId="0" fontId="58" fillId="8" borderId="65" xfId="0" applyFont="1" applyFill="1" applyBorder="1" applyAlignment="1" applyProtection="1"/>
    <xf numFmtId="0" fontId="58" fillId="0" borderId="3" xfId="0" applyFont="1" applyBorder="1" applyAlignment="1" applyProtection="1">
      <alignment horizontal="center"/>
      <protection locked="0"/>
    </xf>
    <xf numFmtId="0" fontId="21" fillId="4" borderId="68" xfId="0" applyFont="1" applyFill="1" applyBorder="1" applyProtection="1"/>
    <xf numFmtId="0" fontId="55" fillId="4" borderId="65" xfId="0" applyFont="1" applyFill="1" applyBorder="1" applyProtection="1"/>
    <xf numFmtId="0" fontId="55" fillId="4" borderId="1" xfId="0" applyFont="1" applyFill="1" applyBorder="1" applyProtection="1"/>
    <xf numFmtId="179" fontId="56" fillId="5" borderId="1" xfId="0" applyNumberFormat="1" applyFont="1" applyFill="1" applyBorder="1" applyAlignment="1" applyProtection="1">
      <alignment horizontal="center"/>
      <protection locked="0"/>
    </xf>
    <xf numFmtId="0" fontId="9" fillId="2" borderId="1" xfId="1" applyFont="1" applyFill="1" applyBorder="1" applyAlignment="1" applyProtection="1">
      <alignment horizontal="left"/>
    </xf>
    <xf numFmtId="0" fontId="44" fillId="0" borderId="0" xfId="0" applyFont="1" applyAlignment="1" applyProtection="1">
      <alignment horizontal="center"/>
    </xf>
    <xf numFmtId="0" fontId="21" fillId="4" borderId="59" xfId="0" applyFont="1" applyFill="1" applyBorder="1" applyAlignment="1" applyProtection="1">
      <alignment horizontal="center"/>
    </xf>
    <xf numFmtId="0" fontId="0" fillId="5" borderId="0" xfId="0" applyFill="1" applyAlignment="1" applyProtection="1">
      <alignment horizontal="center"/>
    </xf>
    <xf numFmtId="0" fontId="58" fillId="0" borderId="0" xfId="0" applyFont="1" applyBorder="1" applyAlignment="1" applyProtection="1">
      <alignment horizontal="left" vertical="top" wrapText="1"/>
    </xf>
    <xf numFmtId="0" fontId="58" fillId="4" borderId="1" xfId="0" applyFont="1" applyFill="1" applyBorder="1" applyAlignment="1" applyProtection="1">
      <alignment horizontal="center"/>
    </xf>
    <xf numFmtId="0" fontId="79" fillId="0" borderId="0" xfId="0" applyFont="1" applyAlignment="1" applyProtection="1">
      <alignment horizontal="center"/>
    </xf>
    <xf numFmtId="0" fontId="0" fillId="0" borderId="1" xfId="0" applyBorder="1" applyAlignment="1" applyProtection="1">
      <alignment horizontal="center"/>
    </xf>
    <xf numFmtId="0" fontId="56" fillId="4" borderId="65" xfId="0" applyFont="1" applyFill="1" applyBorder="1" applyAlignment="1" applyProtection="1">
      <alignment horizontal="left"/>
    </xf>
    <xf numFmtId="0" fontId="58" fillId="4" borderId="1" xfId="0" applyFont="1" applyFill="1" applyBorder="1" applyAlignment="1" applyProtection="1">
      <alignment horizontal="left" vertical="center" wrapText="1"/>
    </xf>
    <xf numFmtId="0" fontId="58" fillId="4" borderId="5" xfId="0" applyFont="1" applyFill="1" applyBorder="1" applyAlignment="1" applyProtection="1">
      <alignment horizontal="center" vertical="center"/>
    </xf>
    <xf numFmtId="0" fontId="58" fillId="4" borderId="6" xfId="0" applyFont="1" applyFill="1" applyBorder="1" applyAlignment="1" applyProtection="1">
      <alignment horizontal="center" vertical="center"/>
    </xf>
    <xf numFmtId="0" fontId="58" fillId="0" borderId="27" xfId="0" applyFont="1" applyBorder="1" applyAlignment="1" applyProtection="1">
      <alignment horizontal="left" vertical="top" wrapText="1"/>
    </xf>
    <xf numFmtId="0" fontId="60" fillId="0" borderId="1" xfId="0" applyFont="1" applyBorder="1" applyAlignment="1" applyProtection="1">
      <alignment horizontal="left" vertical="justify" wrapText="1"/>
    </xf>
    <xf numFmtId="0" fontId="60" fillId="0" borderId="0" xfId="0" applyFont="1" applyBorder="1" applyAlignment="1" applyProtection="1">
      <alignment horizontal="left" vertical="justify" wrapText="1"/>
    </xf>
    <xf numFmtId="0" fontId="56" fillId="4" borderId="1" xfId="0" applyFont="1" applyFill="1" applyBorder="1" applyAlignment="1" applyProtection="1">
      <alignment horizontal="center" vertical="center"/>
    </xf>
    <xf numFmtId="0" fontId="56" fillId="4" borderId="3" xfId="0" applyFont="1" applyFill="1" applyBorder="1" applyAlignment="1" applyProtection="1">
      <alignment horizontal="center" vertical="center"/>
    </xf>
    <xf numFmtId="0" fontId="58" fillId="4" borderId="1" xfId="0" applyFont="1" applyFill="1" applyBorder="1" applyAlignment="1" applyProtection="1">
      <alignment vertical="center" wrapText="1"/>
    </xf>
    <xf numFmtId="0" fontId="58" fillId="4" borderId="1" xfId="0" applyFont="1" applyFill="1" applyBorder="1" applyAlignment="1" applyProtection="1">
      <alignment horizontal="left"/>
    </xf>
    <xf numFmtId="0" fontId="21" fillId="4" borderId="1" xfId="0" applyFont="1" applyFill="1" applyBorder="1" applyAlignment="1" applyProtection="1">
      <alignment horizontal="center"/>
    </xf>
    <xf numFmtId="0" fontId="21" fillId="4" borderId="1" xfId="0" applyFont="1" applyFill="1" applyBorder="1" applyAlignment="1" applyProtection="1">
      <alignment horizontal="center" vertical="center" wrapText="1"/>
    </xf>
    <xf numFmtId="0" fontId="58" fillId="0" borderId="0" xfId="0" applyFont="1" applyAlignment="1" applyProtection="1">
      <alignment horizontal="left"/>
    </xf>
    <xf numFmtId="0" fontId="58" fillId="4" borderId="5" xfId="0" applyFont="1" applyFill="1" applyBorder="1" applyAlignment="1" applyProtection="1">
      <alignment vertical="center" wrapText="1"/>
    </xf>
    <xf numFmtId="0" fontId="58" fillId="4" borderId="16" xfId="0" applyFont="1" applyFill="1" applyBorder="1" applyAlignment="1" applyProtection="1">
      <alignment vertical="center" wrapText="1"/>
    </xf>
    <xf numFmtId="0" fontId="58" fillId="4" borderId="6" xfId="0" applyFont="1" applyFill="1" applyBorder="1" applyAlignment="1" applyProtection="1">
      <alignment vertical="center" wrapText="1"/>
    </xf>
    <xf numFmtId="0" fontId="58" fillId="0" borderId="1" xfId="0" applyFont="1" applyBorder="1" applyAlignment="1" applyProtection="1">
      <alignment horizontal="center" vertical="center"/>
      <protection locked="0"/>
    </xf>
    <xf numFmtId="188" fontId="58" fillId="5" borderId="1" xfId="0" applyNumberFormat="1" applyFont="1" applyFill="1" applyBorder="1" applyAlignment="1" applyProtection="1">
      <alignment horizontal="center"/>
      <protection locked="0"/>
    </xf>
    <xf numFmtId="179" fontId="58" fillId="4" borderId="3" xfId="0" applyNumberFormat="1" applyFont="1" applyFill="1" applyBorder="1" applyAlignment="1" applyProtection="1">
      <alignment horizontal="left"/>
    </xf>
    <xf numFmtId="179" fontId="58" fillId="5" borderId="29" xfId="0" applyNumberFormat="1" applyFont="1" applyFill="1" applyBorder="1" applyAlignment="1" applyProtection="1">
      <alignment horizontal="left"/>
    </xf>
    <xf numFmtId="0" fontId="21" fillId="0" borderId="0" xfId="0" applyFont="1" applyBorder="1" applyAlignment="1" applyProtection="1">
      <alignment horizontal="right"/>
    </xf>
    <xf numFmtId="0" fontId="58" fillId="0" borderId="0" xfId="0" applyFont="1" applyBorder="1" applyAlignment="1" applyProtection="1">
      <alignment horizontal="right"/>
    </xf>
    <xf numFmtId="0" fontId="0" fillId="8" borderId="16" xfId="0" applyFill="1" applyBorder="1" applyAlignment="1">
      <alignment wrapText="1"/>
    </xf>
    <xf numFmtId="0" fontId="0" fillId="0" borderId="29" xfId="0" applyBorder="1"/>
    <xf numFmtId="0" fontId="58" fillId="0" borderId="29" xfId="0" applyFont="1" applyBorder="1" applyAlignment="1" applyProtection="1">
      <alignment horizontal="center"/>
    </xf>
    <xf numFmtId="179" fontId="50" fillId="4" borderId="3" xfId="0" applyNumberFormat="1" applyFont="1" applyFill="1" applyBorder="1" applyAlignment="1" applyProtection="1">
      <alignment horizontal="center"/>
    </xf>
    <xf numFmtId="0" fontId="58" fillId="4" borderId="6" xfId="0" applyFont="1" applyFill="1" applyBorder="1" applyAlignment="1" applyProtection="1">
      <alignment horizontal="center"/>
    </xf>
    <xf numFmtId="0" fontId="120" fillId="0" borderId="1" xfId="9" applyFont="1" applyBorder="1" applyAlignment="1" applyProtection="1">
      <alignment horizontal="center" vertical="center"/>
    </xf>
    <xf numFmtId="0" fontId="58" fillId="4" borderId="1" xfId="9" applyFont="1" applyFill="1" applyBorder="1" applyAlignment="1" applyProtection="1">
      <alignment horizontal="center" vertical="center"/>
    </xf>
    <xf numFmtId="176" fontId="120" fillId="0" borderId="1" xfId="9" applyNumberFormat="1" applyFont="1" applyBorder="1" applyAlignment="1" applyProtection="1">
      <alignment horizontal="center" vertical="center"/>
    </xf>
    <xf numFmtId="0" fontId="21" fillId="4" borderId="6" xfId="0" applyFont="1" applyFill="1" applyBorder="1" applyAlignment="1" applyProtection="1">
      <alignment horizontal="left"/>
    </xf>
    <xf numFmtId="0" fontId="120" fillId="0" borderId="68" xfId="9" applyFont="1" applyBorder="1" applyAlignment="1" applyProtection="1">
      <alignment horizontal="center" vertical="center"/>
    </xf>
    <xf numFmtId="0" fontId="120" fillId="0" borderId="16" xfId="9" applyFont="1" applyBorder="1" applyAlignment="1" applyProtection="1">
      <alignment horizontal="center" vertical="center"/>
    </xf>
    <xf numFmtId="179" fontId="120" fillId="0" borderId="1" xfId="9" applyNumberFormat="1" applyFont="1" applyBorder="1" applyAlignment="1" applyProtection="1">
      <alignment horizontal="center" vertical="center"/>
    </xf>
    <xf numFmtId="0" fontId="120" fillId="0" borderId="6" xfId="9" applyFont="1" applyBorder="1" applyAlignment="1" applyProtection="1">
      <alignment horizontal="center" vertical="center"/>
    </xf>
    <xf numFmtId="0" fontId="120" fillId="0" borderId="64" xfId="9" applyFont="1" applyBorder="1" applyAlignment="1" applyProtection="1">
      <alignment horizontal="left" vertical="center"/>
    </xf>
    <xf numFmtId="0" fontId="120" fillId="0" borderId="64" xfId="9" applyFont="1" applyBorder="1" applyAlignment="1" applyProtection="1">
      <alignment vertical="center"/>
    </xf>
    <xf numFmtId="0" fontId="187" fillId="0" borderId="1" xfId="9" applyFont="1" applyBorder="1" applyAlignment="1" applyProtection="1">
      <alignment horizontal="center" vertical="center"/>
    </xf>
    <xf numFmtId="0" fontId="120" fillId="0" borderId="1" xfId="9" applyFont="1" applyBorder="1" applyAlignment="1" applyProtection="1">
      <alignment horizontal="left" vertical="center"/>
    </xf>
    <xf numFmtId="0" fontId="150" fillId="4" borderId="1" xfId="0" applyFont="1" applyFill="1" applyBorder="1" applyAlignment="1" applyProtection="1">
      <alignment horizontal="left"/>
    </xf>
    <xf numFmtId="0" fontId="55" fillId="4" borderId="1" xfId="0" applyFont="1" applyFill="1" applyBorder="1" applyAlignment="1" applyProtection="1">
      <alignment horizontal="left"/>
    </xf>
    <xf numFmtId="0" fontId="58" fillId="8" borderId="64" xfId="0" applyFont="1" applyFill="1" applyBorder="1" applyAlignment="1" applyProtection="1">
      <alignment horizontal="center"/>
      <protection locked="0"/>
    </xf>
    <xf numFmtId="0" fontId="56" fillId="5" borderId="1" xfId="0" applyNumberFormat="1" applyFont="1" applyFill="1" applyBorder="1" applyAlignment="1" applyProtection="1">
      <alignment horizontal="center"/>
      <protection locked="0"/>
    </xf>
    <xf numFmtId="0" fontId="185" fillId="5" borderId="1" xfId="0" applyNumberFormat="1" applyFont="1" applyFill="1" applyBorder="1" applyAlignment="1" applyProtection="1">
      <alignment horizontal="center"/>
      <protection locked="0"/>
    </xf>
    <xf numFmtId="0" fontId="58" fillId="5" borderId="59" xfId="0" applyFont="1" applyFill="1" applyBorder="1" applyAlignment="1" applyProtection="1">
      <alignment horizontal="center"/>
      <protection locked="0"/>
    </xf>
    <xf numFmtId="0" fontId="58" fillId="5" borderId="1" xfId="0" applyNumberFormat="1" applyFont="1" applyFill="1" applyBorder="1" applyAlignment="1" applyProtection="1">
      <alignment horizontal="center"/>
      <protection locked="0"/>
    </xf>
    <xf numFmtId="0" fontId="58" fillId="8" borderId="64" xfId="0" applyFont="1" applyFill="1" applyBorder="1" applyAlignment="1" applyProtection="1">
      <protection locked="0"/>
    </xf>
    <xf numFmtId="188" fontId="46" fillId="5" borderId="1" xfId="0" applyNumberFormat="1" applyFont="1" applyFill="1" applyBorder="1" applyAlignment="1" applyProtection="1">
      <alignment horizontal="center"/>
      <protection locked="0"/>
    </xf>
    <xf numFmtId="0" fontId="166" fillId="8" borderId="59" xfId="0" applyFont="1" applyFill="1" applyBorder="1" applyAlignment="1" applyProtection="1">
      <alignment horizontal="center" vertical="center"/>
      <protection locked="0"/>
    </xf>
    <xf numFmtId="0" fontId="175" fillId="4" borderId="67" xfId="8" applyFont="1" applyFill="1" applyBorder="1" applyAlignment="1" applyProtection="1">
      <alignment horizontal="center" wrapText="1"/>
    </xf>
    <xf numFmtId="0" fontId="175" fillId="4" borderId="66" xfId="8" applyFont="1" applyFill="1" applyBorder="1" applyAlignment="1" applyProtection="1">
      <alignment horizontal="center" wrapText="1"/>
    </xf>
    <xf numFmtId="0" fontId="175" fillId="0" borderId="67" xfId="8" applyFont="1" applyBorder="1" applyAlignment="1" applyProtection="1">
      <alignment horizontal="center" wrapText="1"/>
    </xf>
    <xf numFmtId="0" fontId="175" fillId="0" borderId="66" xfId="8" applyFont="1" applyBorder="1" applyAlignment="1" applyProtection="1">
      <alignment horizontal="center" wrapText="1"/>
    </xf>
    <xf numFmtId="190" fontId="105" fillId="4" borderId="1" xfId="0" applyNumberFormat="1" applyFont="1" applyFill="1" applyBorder="1" applyAlignment="1" applyProtection="1">
      <alignment horizontal="center"/>
    </xf>
    <xf numFmtId="0" fontId="175" fillId="0" borderId="0" xfId="8" applyFont="1" applyAlignment="1" applyProtection="1">
      <alignment horizontal="left" wrapText="1"/>
    </xf>
    <xf numFmtId="0" fontId="58" fillId="8" borderId="64" xfId="0" applyFont="1" applyFill="1" applyBorder="1" applyAlignment="1" applyProtection="1">
      <alignment horizontal="center" vertical="center"/>
      <protection locked="0"/>
    </xf>
    <xf numFmtId="182" fontId="58" fillId="5" borderId="1" xfId="0" applyNumberFormat="1" applyFont="1" applyFill="1" applyBorder="1" applyAlignment="1" applyProtection="1">
      <alignment horizontal="center"/>
      <protection locked="0"/>
    </xf>
    <xf numFmtId="0" fontId="58" fillId="8" borderId="3" xfId="0" applyFont="1" applyFill="1" applyBorder="1" applyAlignment="1" applyProtection="1">
      <alignment vertical="center"/>
      <protection locked="0"/>
    </xf>
    <xf numFmtId="0" fontId="58" fillId="8" borderId="65" xfId="0" applyFont="1" applyFill="1" applyBorder="1" applyAlignment="1" applyProtection="1">
      <alignment vertical="center"/>
      <protection locked="0"/>
    </xf>
    <xf numFmtId="184" fontId="0" fillId="5" borderId="64" xfId="0" applyNumberFormat="1" applyFill="1" applyBorder="1" applyAlignment="1" applyProtection="1">
      <alignment horizontal="center"/>
      <protection locked="0"/>
    </xf>
    <xf numFmtId="0" fontId="0" fillId="5" borderId="64" xfId="0" applyFill="1" applyBorder="1" applyAlignment="1" applyProtection="1">
      <alignment horizontal="center"/>
      <protection locked="0"/>
    </xf>
    <xf numFmtId="0" fontId="58" fillId="0" borderId="0" xfId="0" applyFont="1" applyBorder="1" applyAlignment="1" applyProtection="1">
      <alignment horizontal="left" vertical="top"/>
    </xf>
    <xf numFmtId="179" fontId="58" fillId="8" borderId="1" xfId="0" applyNumberFormat="1" applyFont="1" applyFill="1" applyBorder="1" applyAlignment="1" applyProtection="1">
      <alignment horizontal="center"/>
    </xf>
    <xf numFmtId="0" fontId="105" fillId="5" borderId="1" xfId="0" applyNumberFormat="1" applyFont="1" applyFill="1" applyBorder="1" applyAlignment="1" applyProtection="1">
      <alignment horizontal="center"/>
      <protection locked="0"/>
    </xf>
    <xf numFmtId="0" fontId="162" fillId="0" borderId="0" xfId="0" applyFont="1" applyAlignment="1" applyProtection="1">
      <alignment horizontal="left" indent="3" readingOrder="1"/>
    </xf>
    <xf numFmtId="179" fontId="136" fillId="5" borderId="1" xfId="0" applyNumberFormat="1" applyFont="1" applyFill="1" applyBorder="1" applyAlignment="1" applyProtection="1">
      <alignment horizontal="center"/>
      <protection locked="0"/>
    </xf>
    <xf numFmtId="0" fontId="56" fillId="13" borderId="1" xfId="0" applyFont="1" applyFill="1" applyBorder="1" applyAlignment="1" applyProtection="1">
      <alignment horizontal="center"/>
    </xf>
    <xf numFmtId="0" fontId="105" fillId="5" borderId="1" xfId="0" applyFont="1" applyFill="1" applyBorder="1" applyAlignment="1" applyProtection="1">
      <alignment horizontal="center"/>
      <protection locked="0"/>
    </xf>
    <xf numFmtId="0" fontId="58" fillId="5" borderId="1" xfId="0" applyFont="1" applyFill="1" applyBorder="1" applyAlignment="1" applyProtection="1">
      <alignment horizontal="center" vertical="center" wrapText="1"/>
    </xf>
    <xf numFmtId="0" fontId="58" fillId="0" borderId="1" xfId="0" applyFont="1" applyBorder="1" applyAlignment="1" applyProtection="1">
      <alignment horizontal="center" vertical="center"/>
    </xf>
    <xf numFmtId="0" fontId="58" fillId="5" borderId="1" xfId="0" applyFont="1" applyFill="1" applyBorder="1" applyAlignment="1" applyProtection="1">
      <alignment horizontal="center" vertical="center"/>
    </xf>
    <xf numFmtId="0" fontId="58" fillId="4" borderId="3" xfId="0" applyFont="1" applyFill="1" applyBorder="1" applyAlignment="1" applyProtection="1">
      <alignment wrapText="1"/>
    </xf>
    <xf numFmtId="0" fontId="58" fillId="5" borderId="4" xfId="0" applyFont="1" applyFill="1" applyBorder="1" applyAlignment="1" applyProtection="1">
      <alignment horizontal="center" vertical="center" wrapText="1"/>
    </xf>
    <xf numFmtId="0" fontId="58" fillId="4" borderId="6" xfId="0" applyFont="1" applyFill="1" applyBorder="1" applyAlignment="1" applyProtection="1">
      <alignment wrapText="1"/>
    </xf>
    <xf numFmtId="0" fontId="21" fillId="4" borderId="1" xfId="0" applyFont="1" applyFill="1" applyBorder="1" applyAlignment="1" applyProtection="1">
      <alignment wrapText="1"/>
    </xf>
    <xf numFmtId="0" fontId="148" fillId="4" borderId="1" xfId="0" applyFont="1" applyFill="1" applyBorder="1" applyAlignment="1" applyProtection="1">
      <alignment vertical="center" wrapText="1"/>
    </xf>
    <xf numFmtId="0" fontId="58" fillId="4" borderId="6" xfId="0" applyFont="1" applyFill="1" applyBorder="1" applyAlignment="1" applyProtection="1"/>
    <xf numFmtId="0" fontId="55" fillId="0" borderId="1" xfId="0" applyFont="1" applyBorder="1" applyProtection="1"/>
    <xf numFmtId="0" fontId="58" fillId="4" borderId="1" xfId="0" applyFont="1" applyFill="1" applyBorder="1" applyAlignment="1" applyProtection="1">
      <alignment horizontal="center" vertical="center"/>
      <protection locked="0"/>
    </xf>
    <xf numFmtId="0" fontId="7" fillId="8" borderId="1" xfId="0" applyFont="1" applyFill="1" applyBorder="1" applyAlignment="1" applyProtection="1">
      <alignment horizontal="left" vertical="top" wrapText="1"/>
    </xf>
    <xf numFmtId="0" fontId="0" fillId="8" borderId="1" xfId="0" applyFill="1" applyBorder="1" applyAlignment="1">
      <alignment horizontal="left" vertical="top" wrapText="1"/>
    </xf>
    <xf numFmtId="0" fontId="0" fillId="8" borderId="1" xfId="0" applyFill="1" applyBorder="1" applyAlignment="1">
      <alignment horizontal="left" vertical="top"/>
    </xf>
    <xf numFmtId="0" fontId="133" fillId="0" borderId="2" xfId="0" applyFont="1" applyBorder="1" applyAlignment="1" applyProtection="1">
      <alignment horizontal="center"/>
    </xf>
    <xf numFmtId="0" fontId="7" fillId="0" borderId="2" xfId="0" applyFont="1" applyBorder="1" applyAlignment="1" applyProtection="1">
      <alignment horizontal="center"/>
    </xf>
    <xf numFmtId="0" fontId="8" fillId="3" borderId="3" xfId="0" applyFont="1" applyFill="1" applyBorder="1" applyAlignment="1" applyProtection="1">
      <alignment horizontal="center"/>
    </xf>
    <xf numFmtId="0" fontId="8" fillId="3" borderId="4" xfId="0" applyFont="1" applyFill="1" applyBorder="1" applyAlignment="1" applyProtection="1">
      <alignment horizontal="center"/>
    </xf>
    <xf numFmtId="0" fontId="17" fillId="2" borderId="0" xfId="0" applyFont="1" applyFill="1" applyAlignment="1" applyProtection="1">
      <alignment horizontal="left" vertical="top" wrapText="1"/>
    </xf>
    <xf numFmtId="0" fontId="7" fillId="2" borderId="0" xfId="0" applyFont="1" applyFill="1" applyAlignment="1" applyProtection="1">
      <alignment horizontal="left" vertical="top" wrapText="1"/>
    </xf>
    <xf numFmtId="0" fontId="6" fillId="0" borderId="1" xfId="0" applyFont="1" applyBorder="1" applyAlignment="1" applyProtection="1">
      <alignment horizontal="center"/>
    </xf>
    <xf numFmtId="0" fontId="8" fillId="0" borderId="1" xfId="0" applyFont="1" applyBorder="1" applyAlignment="1" applyProtection="1">
      <alignment horizontal="left"/>
    </xf>
    <xf numFmtId="0" fontId="13" fillId="2" borderId="1" xfId="1" applyFont="1" applyFill="1" applyBorder="1" applyAlignment="1" applyProtection="1">
      <alignment horizontal="center"/>
    </xf>
    <xf numFmtId="0" fontId="9" fillId="2" borderId="1" xfId="1" applyFont="1" applyFill="1" applyBorder="1" applyAlignment="1" applyProtection="1">
      <alignment horizontal="left" wrapText="1"/>
    </xf>
    <xf numFmtId="0" fontId="9" fillId="2" borderId="1" xfId="1" applyFont="1" applyFill="1" applyBorder="1" applyAlignment="1" applyProtection="1">
      <alignment horizontal="left"/>
    </xf>
    <xf numFmtId="0" fontId="8" fillId="0" borderId="2" xfId="0" applyFont="1" applyBorder="1" applyAlignment="1" applyProtection="1">
      <alignment horizontal="left"/>
    </xf>
    <xf numFmtId="0" fontId="58" fillId="0" borderId="1" xfId="0" applyFont="1" applyBorder="1" applyAlignment="1" applyProtection="1">
      <alignment horizontal="left" vertical="justify" wrapText="1"/>
    </xf>
    <xf numFmtId="0" fontId="179" fillId="0" borderId="2" xfId="0" applyFont="1" applyBorder="1" applyAlignment="1" applyProtection="1">
      <alignment horizontal="center"/>
    </xf>
    <xf numFmtId="0" fontId="21" fillId="4" borderId="68" xfId="0" applyFont="1" applyFill="1" applyBorder="1" applyAlignment="1" applyProtection="1">
      <alignment horizontal="center" vertical="center"/>
    </xf>
    <xf numFmtId="0" fontId="21" fillId="4" borderId="16" xfId="0" applyFont="1" applyFill="1" applyBorder="1" applyAlignment="1" applyProtection="1">
      <alignment horizontal="center" vertical="center"/>
    </xf>
    <xf numFmtId="0" fontId="21" fillId="4" borderId="6" xfId="0" applyFont="1" applyFill="1" applyBorder="1" applyAlignment="1" applyProtection="1">
      <alignment horizontal="center" vertical="center"/>
    </xf>
    <xf numFmtId="0" fontId="21" fillId="4" borderId="68" xfId="0" applyFont="1" applyFill="1" applyBorder="1" applyAlignment="1" applyProtection="1">
      <alignment horizontal="left" vertical="center" wrapText="1"/>
    </xf>
    <xf numFmtId="0" fontId="21" fillId="4" borderId="16" xfId="0" applyFont="1" applyFill="1" applyBorder="1" applyAlignment="1" applyProtection="1">
      <alignment horizontal="left" vertical="center" wrapText="1"/>
    </xf>
    <xf numFmtId="0" fontId="106" fillId="4" borderId="68" xfId="0" applyFont="1" applyFill="1" applyBorder="1" applyAlignment="1" applyProtection="1">
      <alignment horizontal="left" vertical="center"/>
    </xf>
    <xf numFmtId="0" fontId="106" fillId="4" borderId="16" xfId="0" applyFont="1" applyFill="1" applyBorder="1" applyAlignment="1" applyProtection="1">
      <alignment horizontal="left" vertical="center"/>
    </xf>
    <xf numFmtId="0" fontId="106" fillId="4" borderId="6" xfId="0" applyFont="1" applyFill="1" applyBorder="1" applyAlignment="1" applyProtection="1">
      <alignment horizontal="left" vertical="center"/>
    </xf>
    <xf numFmtId="0" fontId="21" fillId="4" borderId="1" xfId="0" applyFont="1" applyFill="1" applyBorder="1" applyAlignment="1" applyProtection="1">
      <alignment horizontal="left" vertical="center" wrapText="1"/>
    </xf>
    <xf numFmtId="188" fontId="56" fillId="4" borderId="64" xfId="0" applyNumberFormat="1" applyFont="1" applyFill="1" applyBorder="1" applyAlignment="1" applyProtection="1">
      <alignment horizontal="left"/>
    </xf>
    <xf numFmtId="188" fontId="56" fillId="4" borderId="65" xfId="0" applyNumberFormat="1" applyFont="1" applyFill="1" applyBorder="1" applyAlignment="1" applyProtection="1">
      <alignment horizontal="left"/>
    </xf>
    <xf numFmtId="0" fontId="56" fillId="4" borderId="64" xfId="0" applyFont="1" applyFill="1" applyBorder="1" applyAlignment="1" applyProtection="1">
      <alignment horizontal="left"/>
    </xf>
    <xf numFmtId="0" fontId="56" fillId="4" borderId="65" xfId="0" applyFont="1" applyFill="1" applyBorder="1" applyAlignment="1" applyProtection="1">
      <alignment horizontal="left"/>
    </xf>
    <xf numFmtId="0" fontId="106" fillId="4" borderId="1" xfId="0" applyFont="1" applyFill="1" applyBorder="1" applyAlignment="1" applyProtection="1">
      <alignment horizontal="left"/>
    </xf>
    <xf numFmtId="0" fontId="105" fillId="4" borderId="1" xfId="0" applyFont="1" applyFill="1" applyBorder="1" applyAlignment="1" applyProtection="1">
      <alignment horizontal="left"/>
    </xf>
    <xf numFmtId="0" fontId="21" fillId="4" borderId="6" xfId="0" applyFont="1" applyFill="1" applyBorder="1" applyAlignment="1" applyProtection="1">
      <alignment horizontal="left" vertical="center" wrapText="1"/>
    </xf>
    <xf numFmtId="0" fontId="106" fillId="4" borderId="64" xfId="0" applyFont="1" applyFill="1" applyBorder="1" applyAlignment="1" applyProtection="1">
      <alignment horizontal="left"/>
    </xf>
    <xf numFmtId="0" fontId="105" fillId="4" borderId="72" xfId="0" applyFont="1" applyFill="1" applyBorder="1" applyAlignment="1" applyProtection="1">
      <alignment horizontal="left"/>
    </xf>
    <xf numFmtId="0" fontId="144" fillId="4" borderId="68" xfId="0" applyFont="1" applyFill="1" applyBorder="1" applyAlignment="1" applyProtection="1">
      <alignment horizontal="left" vertical="center"/>
    </xf>
    <xf numFmtId="0" fontId="144" fillId="4" borderId="6" xfId="0" applyFont="1" applyFill="1" applyBorder="1" applyAlignment="1" applyProtection="1">
      <alignment horizontal="left" vertical="center"/>
    </xf>
    <xf numFmtId="0" fontId="21" fillId="0" borderId="1" xfId="0" applyFont="1" applyBorder="1" applyAlignment="1" applyProtection="1">
      <alignment horizontal="left"/>
    </xf>
    <xf numFmtId="0" fontId="21" fillId="14" borderId="1" xfId="0" applyFont="1" applyFill="1" applyBorder="1" applyAlignment="1" applyProtection="1">
      <alignment horizontal="left"/>
    </xf>
    <xf numFmtId="0" fontId="44" fillId="0" borderId="0" xfId="0" applyFont="1" applyAlignment="1" applyProtection="1">
      <alignment horizontal="center"/>
    </xf>
    <xf numFmtId="0" fontId="79" fillId="0" borderId="0" xfId="0" applyFont="1" applyAlignment="1" applyProtection="1">
      <alignment horizontal="center"/>
    </xf>
    <xf numFmtId="0" fontId="21" fillId="0" borderId="1" xfId="0" applyFont="1" applyBorder="1" applyAlignment="1" applyProtection="1">
      <alignment horizontal="left" vertical="center" wrapText="1"/>
    </xf>
    <xf numFmtId="0" fontId="0" fillId="14" borderId="1" xfId="0" applyFill="1" applyBorder="1" applyAlignment="1" applyProtection="1">
      <alignment horizontal="left"/>
    </xf>
    <xf numFmtId="0" fontId="21" fillId="14" borderId="1" xfId="0" applyFont="1" applyFill="1" applyBorder="1" applyAlignment="1" applyProtection="1">
      <alignment horizontal="center"/>
    </xf>
    <xf numFmtId="0" fontId="21" fillId="4" borderId="63" xfId="0" applyFont="1" applyFill="1" applyBorder="1" applyAlignment="1" applyProtection="1">
      <alignment horizontal="left" vertical="center"/>
    </xf>
    <xf numFmtId="0" fontId="0" fillId="4" borderId="18" xfId="0" applyFill="1" applyBorder="1" applyAlignment="1" applyProtection="1">
      <alignment horizontal="left" vertical="center"/>
    </xf>
    <xf numFmtId="0" fontId="0" fillId="14" borderId="1" xfId="0" applyFill="1" applyBorder="1" applyAlignment="1" applyProtection="1">
      <alignment horizontal="center"/>
    </xf>
    <xf numFmtId="0" fontId="58" fillId="4" borderId="3" xfId="0" applyFont="1" applyFill="1" applyBorder="1" applyAlignment="1" applyProtection="1">
      <alignment horizontal="left"/>
    </xf>
    <xf numFmtId="0" fontId="58" fillId="4" borderId="65" xfId="0" applyFont="1" applyFill="1" applyBorder="1" applyAlignment="1" applyProtection="1">
      <alignment horizontal="left"/>
    </xf>
    <xf numFmtId="0" fontId="7" fillId="0" borderId="22" xfId="0" applyFont="1" applyBorder="1" applyAlignment="1" applyProtection="1">
      <alignment horizontal="left" vertical="top" wrapText="1"/>
    </xf>
    <xf numFmtId="0" fontId="7" fillId="0" borderId="0" xfId="0" applyFont="1" applyBorder="1" applyAlignment="1" applyProtection="1">
      <alignment horizontal="left" vertical="top" wrapText="1"/>
    </xf>
    <xf numFmtId="0" fontId="7" fillId="0" borderId="23" xfId="0" applyFont="1" applyBorder="1" applyAlignment="1" applyProtection="1">
      <alignment horizontal="left" vertical="top" wrapText="1"/>
    </xf>
    <xf numFmtId="0" fontId="7" fillId="0" borderId="24" xfId="0" applyFont="1" applyBorder="1" applyAlignment="1" applyProtection="1">
      <alignment horizontal="left" vertical="top" wrapText="1"/>
    </xf>
    <xf numFmtId="0" fontId="7" fillId="0" borderId="25" xfId="0" applyFont="1" applyBorder="1" applyAlignment="1" applyProtection="1">
      <alignment horizontal="left" vertical="top" wrapText="1"/>
    </xf>
    <xf numFmtId="0" fontId="7" fillId="0" borderId="26" xfId="0" applyFont="1" applyBorder="1" applyAlignment="1" applyProtection="1">
      <alignment horizontal="left" vertical="top" wrapText="1"/>
    </xf>
    <xf numFmtId="0" fontId="120" fillId="0" borderId="68" xfId="9" applyFont="1" applyBorder="1" applyAlignment="1" applyProtection="1">
      <alignment horizontal="center" vertical="center"/>
    </xf>
    <xf numFmtId="0" fontId="120" fillId="0" borderId="16" xfId="9" applyFont="1" applyBorder="1" applyAlignment="1" applyProtection="1">
      <alignment horizontal="center" vertical="center"/>
    </xf>
    <xf numFmtId="0" fontId="120" fillId="0" borderId="6" xfId="9" applyFont="1" applyBorder="1" applyAlignment="1" applyProtection="1">
      <alignment horizontal="center" vertical="center"/>
    </xf>
    <xf numFmtId="0" fontId="120" fillId="0" borderId="68" xfId="9" applyFont="1" applyBorder="1" applyAlignment="1" applyProtection="1">
      <alignment horizontal="center" vertical="center" wrapText="1"/>
    </xf>
    <xf numFmtId="0" fontId="120" fillId="0" borderId="16" xfId="9" applyFont="1" applyBorder="1" applyAlignment="1" applyProtection="1">
      <alignment horizontal="center" vertical="center" wrapText="1"/>
    </xf>
    <xf numFmtId="0" fontId="120" fillId="0" borderId="6" xfId="9" applyFont="1" applyBorder="1" applyAlignment="1" applyProtection="1">
      <alignment horizontal="center" vertical="center" wrapText="1"/>
    </xf>
    <xf numFmtId="0" fontId="21" fillId="14" borderId="1" xfId="0" applyFont="1" applyFill="1" applyBorder="1" applyAlignment="1" applyProtection="1">
      <alignment horizontal="center" wrapText="1"/>
    </xf>
    <xf numFmtId="0" fontId="0" fillId="0" borderId="1" xfId="0" applyBorder="1" applyAlignment="1" applyProtection="1">
      <alignment horizontal="center"/>
    </xf>
    <xf numFmtId="0" fontId="0" fillId="0" borderId="1" xfId="0" applyBorder="1" applyAlignment="1" applyProtection="1">
      <alignment horizontal="center" vertical="center"/>
    </xf>
    <xf numFmtId="0" fontId="21" fillId="4" borderId="1" xfId="0" applyFont="1" applyFill="1" applyBorder="1" applyAlignment="1" applyProtection="1">
      <alignment horizontal="center" vertical="center"/>
    </xf>
    <xf numFmtId="0" fontId="0" fillId="4" borderId="1" xfId="0" applyFill="1" applyBorder="1" applyAlignment="1" applyProtection="1">
      <alignment horizontal="center" vertical="center"/>
    </xf>
    <xf numFmtId="0" fontId="186" fillId="0" borderId="69" xfId="0" applyFont="1" applyBorder="1" applyAlignment="1" applyProtection="1">
      <alignment horizontal="left" wrapText="1"/>
    </xf>
    <xf numFmtId="0" fontId="186" fillId="0" borderId="73" xfId="0" applyFont="1" applyBorder="1" applyAlignment="1" applyProtection="1">
      <alignment horizontal="left" wrapText="1"/>
    </xf>
    <xf numFmtId="0" fontId="186" fillId="0" borderId="63" xfId="0" applyFont="1" applyBorder="1" applyAlignment="1" applyProtection="1">
      <alignment horizontal="left" wrapText="1"/>
    </xf>
    <xf numFmtId="0" fontId="186" fillId="0" borderId="28" xfId="0" applyFont="1" applyBorder="1" applyAlignment="1" applyProtection="1">
      <alignment horizontal="left" wrapText="1"/>
    </xf>
    <xf numFmtId="0" fontId="186" fillId="0" borderId="2" xfId="0" applyFont="1" applyBorder="1" applyAlignment="1" applyProtection="1">
      <alignment horizontal="left" wrapText="1"/>
    </xf>
    <xf numFmtId="0" fontId="186" fillId="0" borderId="18" xfId="0" applyFont="1" applyBorder="1" applyAlignment="1" applyProtection="1">
      <alignment horizontal="left" wrapText="1"/>
    </xf>
    <xf numFmtId="0" fontId="0" fillId="0" borderId="0" xfId="0" applyAlignment="1" applyProtection="1">
      <alignment horizontal="center" vertical="center" wrapText="1"/>
    </xf>
    <xf numFmtId="0" fontId="58" fillId="5" borderId="3" xfId="0" applyFont="1" applyFill="1" applyBorder="1" applyAlignment="1" applyProtection="1">
      <alignment horizontal="left"/>
    </xf>
    <xf numFmtId="0" fontId="58" fillId="5" borderId="72" xfId="0" applyFont="1" applyFill="1" applyBorder="1" applyAlignment="1" applyProtection="1">
      <alignment horizontal="left"/>
    </xf>
    <xf numFmtId="0" fontId="58" fillId="5" borderId="65" xfId="0" applyFont="1" applyFill="1" applyBorder="1" applyAlignment="1" applyProtection="1">
      <alignment horizontal="left"/>
    </xf>
    <xf numFmtId="188" fontId="58" fillId="4" borderId="68" xfId="0" applyNumberFormat="1" applyFont="1" applyFill="1" applyBorder="1" applyAlignment="1" applyProtection="1">
      <alignment horizontal="left" vertical="center"/>
    </xf>
    <xf numFmtId="188" fontId="58" fillId="4" borderId="6" xfId="0" applyNumberFormat="1" applyFont="1" applyFill="1" applyBorder="1" applyAlignment="1" applyProtection="1">
      <alignment horizontal="left" vertical="center"/>
    </xf>
    <xf numFmtId="0" fontId="120" fillId="0" borderId="1" xfId="9" applyFont="1" applyBorder="1" applyAlignment="1" applyProtection="1">
      <alignment horizontal="center" vertical="center"/>
    </xf>
    <xf numFmtId="0" fontId="120" fillId="0" borderId="64" xfId="9" applyFont="1" applyBorder="1" applyAlignment="1" applyProtection="1">
      <alignment horizontal="center" vertical="center"/>
    </xf>
    <xf numFmtId="0" fontId="120" fillId="0" borderId="65" xfId="9" applyFont="1" applyBorder="1" applyAlignment="1" applyProtection="1">
      <alignment horizontal="center" vertical="center"/>
    </xf>
    <xf numFmtId="0" fontId="120" fillId="0" borderId="1" xfId="9" applyFont="1" applyBorder="1" applyAlignment="1" applyProtection="1">
      <alignment horizontal="center" vertical="center" wrapText="1"/>
    </xf>
    <xf numFmtId="0" fontId="7" fillId="0" borderId="3" xfId="0" applyFont="1" applyBorder="1" applyAlignment="1" applyProtection="1">
      <alignment horizontal="right"/>
    </xf>
    <xf numFmtId="0" fontId="7" fillId="0" borderId="4" xfId="0" applyFont="1" applyBorder="1" applyAlignment="1" applyProtection="1">
      <alignment horizontal="right"/>
    </xf>
    <xf numFmtId="0" fontId="7" fillId="0" borderId="3" xfId="0" applyFont="1" applyBorder="1" applyAlignment="1" applyProtection="1">
      <alignment horizontal="right" wrapText="1"/>
    </xf>
    <xf numFmtId="0" fontId="7" fillId="0" borderId="4" xfId="0" applyFont="1" applyBorder="1" applyAlignment="1" applyProtection="1">
      <alignment horizontal="right" wrapText="1"/>
    </xf>
    <xf numFmtId="0" fontId="7" fillId="0" borderId="3" xfId="0" applyFont="1" applyBorder="1" applyAlignment="1" applyProtection="1">
      <alignment horizontal="right" vertical="top"/>
    </xf>
    <xf numFmtId="0" fontId="7" fillId="0" borderId="4" xfId="0" applyFont="1" applyBorder="1" applyAlignment="1" applyProtection="1">
      <alignment horizontal="right" vertical="top"/>
    </xf>
    <xf numFmtId="0" fontId="7" fillId="0" borderId="1" xfId="0" applyFont="1" applyBorder="1" applyAlignment="1" applyProtection="1">
      <alignment horizontal="center"/>
    </xf>
    <xf numFmtId="0" fontId="7" fillId="0" borderId="1" xfId="0" applyFont="1" applyBorder="1" applyAlignment="1" applyProtection="1">
      <alignment horizontal="center" vertical="center"/>
    </xf>
    <xf numFmtId="0" fontId="7" fillId="0" borderId="1" xfId="0" applyFont="1" applyBorder="1" applyAlignment="1" applyProtection="1">
      <alignment horizontal="left"/>
    </xf>
    <xf numFmtId="0" fontId="7" fillId="0" borderId="1" xfId="0" applyFont="1" applyBorder="1" applyAlignment="1" applyProtection="1">
      <alignment horizontal="left" vertical="center" wrapText="1"/>
    </xf>
    <xf numFmtId="0" fontId="7" fillId="0" borderId="1" xfId="0" applyFont="1" applyBorder="1" applyAlignment="1" applyProtection="1">
      <alignment horizontal="left" vertical="center"/>
    </xf>
    <xf numFmtId="0" fontId="7" fillId="4" borderId="3" xfId="0" applyFont="1" applyFill="1" applyBorder="1" applyAlignment="1" applyProtection="1">
      <alignment horizontal="center"/>
    </xf>
    <xf numFmtId="0" fontId="7" fillId="4" borderId="4" xfId="0" applyFont="1" applyFill="1" applyBorder="1" applyAlignment="1" applyProtection="1">
      <alignment horizontal="center"/>
    </xf>
    <xf numFmtId="0" fontId="13" fillId="4" borderId="3" xfId="0" applyFont="1" applyFill="1" applyBorder="1" applyAlignment="1" applyProtection="1">
      <alignment horizontal="center" vertical="center"/>
    </xf>
    <xf numFmtId="0" fontId="13" fillId="4" borderId="15" xfId="0" applyFont="1" applyFill="1" applyBorder="1" applyAlignment="1" applyProtection="1">
      <alignment horizontal="center" vertical="center"/>
    </xf>
    <xf numFmtId="0" fontId="13" fillId="4" borderId="4" xfId="0" applyFont="1" applyFill="1" applyBorder="1" applyAlignment="1" applyProtection="1">
      <alignment horizontal="center" vertical="center"/>
    </xf>
    <xf numFmtId="0" fontId="7" fillId="4" borderId="1" xfId="0" applyFont="1" applyFill="1" applyBorder="1" applyAlignment="1" applyProtection="1">
      <alignment horizontal="left" vertical="center"/>
    </xf>
    <xf numFmtId="0" fontId="7" fillId="0" borderId="3" xfId="0" applyFont="1" applyBorder="1" applyAlignment="1" applyProtection="1">
      <alignment horizontal="center"/>
    </xf>
    <xf numFmtId="0" fontId="7" fillId="0" borderId="15" xfId="0" applyFont="1" applyBorder="1" applyAlignment="1" applyProtection="1">
      <alignment horizontal="center"/>
    </xf>
    <xf numFmtId="0" fontId="7" fillId="0" borderId="4" xfId="0" applyFont="1" applyBorder="1" applyAlignment="1" applyProtection="1">
      <alignment horizontal="center"/>
    </xf>
    <xf numFmtId="0" fontId="7" fillId="4" borderId="3" xfId="0" applyFont="1" applyFill="1" applyBorder="1" applyAlignment="1" applyProtection="1">
      <alignment horizontal="left"/>
    </xf>
    <xf numFmtId="0" fontId="7" fillId="4" borderId="4" xfId="0" applyFont="1" applyFill="1" applyBorder="1" applyAlignment="1" applyProtection="1">
      <alignment horizontal="left"/>
    </xf>
    <xf numFmtId="0" fontId="7" fillId="0" borderId="19" xfId="0" applyFont="1" applyBorder="1" applyAlignment="1" applyProtection="1">
      <alignment horizontal="left" vertical="top" wrapText="1"/>
    </xf>
    <xf numFmtId="0" fontId="7" fillId="0" borderId="20" xfId="0" applyFont="1" applyBorder="1" applyAlignment="1" applyProtection="1">
      <alignment horizontal="left" vertical="top" wrapText="1"/>
    </xf>
    <xf numFmtId="0" fontId="7" fillId="0" borderId="21" xfId="0" applyFont="1" applyBorder="1" applyAlignment="1" applyProtection="1">
      <alignment horizontal="left" vertical="top" wrapText="1"/>
    </xf>
    <xf numFmtId="0" fontId="7" fillId="0" borderId="5" xfId="0" applyFont="1" applyBorder="1" applyAlignment="1" applyProtection="1">
      <alignment horizontal="left" vertical="center" wrapText="1"/>
    </xf>
    <xf numFmtId="0" fontId="7" fillId="0" borderId="16" xfId="0" applyFont="1" applyBorder="1" applyAlignment="1" applyProtection="1">
      <alignment horizontal="left" vertical="center" wrapText="1"/>
    </xf>
    <xf numFmtId="0" fontId="0" fillId="0" borderId="6" xfId="0" applyBorder="1" applyAlignment="1" applyProtection="1">
      <alignment vertical="center"/>
    </xf>
    <xf numFmtId="0" fontId="7" fillId="0" borderId="1" xfId="0" applyFont="1" applyBorder="1" applyAlignment="1" applyProtection="1">
      <alignment horizontal="left" wrapText="1"/>
    </xf>
    <xf numFmtId="0" fontId="7" fillId="0" borderId="1" xfId="0" applyFont="1" applyBorder="1" applyAlignment="1" applyProtection="1">
      <alignment horizontal="center" vertical="center" wrapText="1"/>
    </xf>
    <xf numFmtId="0" fontId="7" fillId="4" borderId="3" xfId="0" applyFont="1" applyFill="1" applyBorder="1" applyAlignment="1" applyProtection="1">
      <alignment horizontal="left" vertical="center"/>
    </xf>
    <xf numFmtId="0" fontId="7" fillId="4" borderId="4" xfId="0" applyFont="1" applyFill="1" applyBorder="1" applyAlignment="1" applyProtection="1">
      <alignment horizontal="left" vertical="center"/>
    </xf>
    <xf numFmtId="0" fontId="133" fillId="0" borderId="2" xfId="0" applyFont="1" applyBorder="1" applyAlignment="1" applyProtection="1">
      <alignment horizontal="center" vertical="center"/>
    </xf>
    <xf numFmtId="0" fontId="22" fillId="4" borderId="15" xfId="0" applyFont="1" applyFill="1" applyBorder="1" applyAlignment="1" applyProtection="1">
      <alignment horizontal="center" vertical="center"/>
    </xf>
    <xf numFmtId="0" fontId="22" fillId="4" borderId="4" xfId="0" applyFont="1" applyFill="1" applyBorder="1" applyAlignment="1" applyProtection="1">
      <alignment horizontal="center" vertical="center"/>
    </xf>
    <xf numFmtId="0" fontId="7" fillId="4" borderId="5" xfId="0" applyFont="1" applyFill="1" applyBorder="1" applyAlignment="1" applyProtection="1">
      <alignment horizontal="left" vertical="center" wrapText="1"/>
    </xf>
    <xf numFmtId="0" fontId="7" fillId="4" borderId="16" xfId="0" applyFont="1" applyFill="1" applyBorder="1" applyAlignment="1" applyProtection="1">
      <alignment horizontal="left" vertical="center" wrapText="1"/>
    </xf>
    <xf numFmtId="0" fontId="7" fillId="4" borderId="1" xfId="0" applyFont="1" applyFill="1" applyBorder="1" applyAlignment="1" applyProtection="1">
      <alignment horizontal="left"/>
    </xf>
    <xf numFmtId="0" fontId="7" fillId="4" borderId="1" xfId="0" applyFont="1" applyFill="1" applyBorder="1" applyAlignment="1" applyProtection="1">
      <alignment vertical="center" wrapText="1"/>
    </xf>
    <xf numFmtId="0" fontId="7" fillId="0" borderId="1" xfId="0" applyFont="1" applyBorder="1" applyAlignment="1" applyProtection="1">
      <alignment horizontal="center"/>
      <protection locked="0"/>
    </xf>
    <xf numFmtId="0" fontId="8" fillId="4" borderId="3" xfId="0" applyFont="1" applyFill="1" applyBorder="1" applyAlignment="1" applyProtection="1">
      <alignment horizontal="center"/>
    </xf>
    <xf numFmtId="0" fontId="8" fillId="4" borderId="15" xfId="0" applyFont="1" applyFill="1" applyBorder="1" applyAlignment="1" applyProtection="1">
      <alignment horizontal="center"/>
    </xf>
    <xf numFmtId="0" fontId="8" fillId="4" borderId="4" xfId="0" applyFont="1" applyFill="1" applyBorder="1" applyAlignment="1" applyProtection="1">
      <alignment horizontal="center"/>
    </xf>
    <xf numFmtId="0" fontId="6" fillId="4" borderId="3" xfId="0" applyFont="1" applyFill="1" applyBorder="1" applyAlignment="1" applyProtection="1">
      <alignment horizontal="center"/>
    </xf>
    <xf numFmtId="0" fontId="6" fillId="4" borderId="4" xfId="0" applyFont="1" applyFill="1" applyBorder="1" applyAlignment="1" applyProtection="1">
      <alignment horizontal="center"/>
    </xf>
    <xf numFmtId="0" fontId="7" fillId="0" borderId="5" xfId="0" applyFont="1" applyBorder="1" applyAlignment="1" applyProtection="1">
      <alignment horizontal="center"/>
    </xf>
    <xf numFmtId="0" fontId="7" fillId="0" borderId="1" xfId="0" applyFont="1" applyBorder="1" applyAlignment="1" applyProtection="1">
      <alignment horizontal="right" wrapText="1"/>
    </xf>
    <xf numFmtId="0" fontId="7" fillId="0" borderId="16" xfId="0" applyFont="1" applyBorder="1" applyAlignment="1" applyProtection="1">
      <alignment horizontal="center"/>
    </xf>
    <xf numFmtId="0" fontId="7" fillId="0" borderId="6" xfId="0" applyFont="1" applyBorder="1" applyAlignment="1" applyProtection="1">
      <alignment horizontal="center"/>
    </xf>
    <xf numFmtId="0" fontId="7" fillId="0" borderId="0" xfId="0" applyFont="1" applyBorder="1" applyAlignment="1" applyProtection="1">
      <alignment horizontal="left"/>
    </xf>
    <xf numFmtId="0" fontId="7" fillId="0" borderId="19" xfId="0" applyFont="1" applyBorder="1" applyAlignment="1" applyProtection="1">
      <alignment horizontal="left" wrapText="1"/>
    </xf>
    <xf numFmtId="0" fontId="7" fillId="0" borderId="20" xfId="0" applyFont="1" applyBorder="1" applyAlignment="1" applyProtection="1">
      <alignment horizontal="left" wrapText="1"/>
    </xf>
    <xf numFmtId="0" fontId="7" fillId="0" borderId="21" xfId="0" applyFont="1" applyBorder="1" applyAlignment="1" applyProtection="1">
      <alignment horizontal="left" wrapText="1"/>
    </xf>
    <xf numFmtId="0" fontId="7" fillId="0" borderId="22" xfId="0" applyFont="1" applyBorder="1" applyAlignment="1" applyProtection="1">
      <alignment horizontal="left" wrapText="1"/>
    </xf>
    <xf numFmtId="0" fontId="7" fillId="0" borderId="0" xfId="0" applyFont="1" applyBorder="1" applyAlignment="1" applyProtection="1">
      <alignment horizontal="left" wrapText="1"/>
    </xf>
    <xf numFmtId="0" fontId="7" fillId="0" borderId="23" xfId="0" applyFont="1" applyBorder="1" applyAlignment="1" applyProtection="1">
      <alignment horizontal="left" wrapText="1"/>
    </xf>
    <xf numFmtId="0" fontId="7" fillId="0" borderId="24" xfId="0" applyFont="1" applyBorder="1" applyAlignment="1" applyProtection="1">
      <alignment horizontal="left" wrapText="1"/>
    </xf>
    <xf numFmtId="0" fontId="7" fillId="0" borderId="25" xfId="0" applyFont="1" applyBorder="1" applyAlignment="1" applyProtection="1">
      <alignment horizontal="left" wrapText="1"/>
    </xf>
    <xf numFmtId="0" fontId="7" fillId="0" borderId="26" xfId="0" applyFont="1" applyBorder="1" applyAlignment="1" applyProtection="1">
      <alignment horizontal="left" wrapText="1"/>
    </xf>
    <xf numFmtId="0" fontId="7" fillId="0" borderId="19" xfId="0" applyFont="1" applyBorder="1" applyAlignment="1" applyProtection="1">
      <alignment horizontal="left" vertical="center" wrapText="1"/>
    </xf>
    <xf numFmtId="0" fontId="7" fillId="0" borderId="20" xfId="0" applyFont="1" applyBorder="1" applyAlignment="1" applyProtection="1">
      <alignment horizontal="left" vertical="center" wrapText="1"/>
    </xf>
    <xf numFmtId="0" fontId="7" fillId="0" borderId="21" xfId="0" applyFont="1" applyBorder="1" applyAlignment="1" applyProtection="1">
      <alignment horizontal="left" vertical="center" wrapText="1"/>
    </xf>
    <xf numFmtId="0" fontId="7" fillId="0" borderId="22" xfId="0" applyFont="1" applyBorder="1" applyAlignment="1" applyProtection="1">
      <alignment horizontal="left" vertical="center" wrapText="1"/>
    </xf>
    <xf numFmtId="0" fontId="7" fillId="0" borderId="0" xfId="0" applyFont="1" applyBorder="1" applyAlignment="1" applyProtection="1">
      <alignment horizontal="left" vertical="center" wrapText="1"/>
    </xf>
    <xf numFmtId="0" fontId="7" fillId="0" borderId="23" xfId="0" applyFont="1" applyBorder="1" applyAlignment="1" applyProtection="1">
      <alignment horizontal="left" vertical="center" wrapText="1"/>
    </xf>
    <xf numFmtId="0" fontId="7" fillId="0" borderId="24" xfId="0" applyFont="1" applyBorder="1" applyAlignment="1" applyProtection="1">
      <alignment horizontal="left" vertical="center" wrapText="1"/>
    </xf>
    <xf numFmtId="0" fontId="7" fillId="0" borderId="25" xfId="0" applyFont="1" applyBorder="1" applyAlignment="1" applyProtection="1">
      <alignment horizontal="left" vertical="center" wrapText="1"/>
    </xf>
    <xf numFmtId="0" fontId="7" fillId="0" borderId="26" xfId="0" applyFont="1" applyBorder="1" applyAlignment="1" applyProtection="1">
      <alignment horizontal="left" vertical="center" wrapText="1"/>
    </xf>
    <xf numFmtId="0" fontId="7" fillId="0" borderId="0" xfId="0" applyFont="1" applyBorder="1" applyAlignment="1" applyProtection="1">
      <alignment horizontal="center"/>
    </xf>
    <xf numFmtId="0" fontId="6" fillId="0" borderId="1" xfId="0" applyFont="1" applyBorder="1" applyAlignment="1" applyProtection="1">
      <alignment horizontal="center" vertical="center"/>
    </xf>
    <xf numFmtId="183" fontId="6" fillId="4" borderId="1" xfId="0" applyNumberFormat="1" applyFont="1" applyFill="1" applyBorder="1" applyAlignment="1" applyProtection="1">
      <alignment horizontal="center" vertical="center"/>
    </xf>
    <xf numFmtId="0" fontId="22" fillId="0" borderId="1" xfId="0" applyFont="1" applyBorder="1" applyAlignment="1" applyProtection="1">
      <alignment horizontal="center" vertical="center"/>
    </xf>
    <xf numFmtId="176" fontId="22" fillId="0" borderId="1" xfId="0" applyNumberFormat="1" applyFont="1" applyBorder="1" applyAlignment="1" applyProtection="1">
      <alignment horizontal="center" vertical="center"/>
    </xf>
    <xf numFmtId="0" fontId="7" fillId="4" borderId="1" xfId="0" applyFont="1" applyFill="1" applyBorder="1" applyAlignment="1" applyProtection="1">
      <alignment horizontal="center" vertical="center"/>
    </xf>
    <xf numFmtId="0" fontId="8" fillId="0" borderId="1" xfId="0" applyFont="1" applyBorder="1" applyAlignment="1" applyProtection="1">
      <alignment horizontal="center" vertical="center"/>
    </xf>
    <xf numFmtId="49" fontId="7" fillId="0" borderId="1" xfId="0" applyNumberFormat="1" applyFont="1" applyBorder="1" applyAlignment="1" applyProtection="1">
      <alignment horizontal="center" vertical="center"/>
    </xf>
    <xf numFmtId="0" fontId="24" fillId="0" borderId="1" xfId="0" applyFont="1" applyBorder="1" applyAlignment="1" applyProtection="1">
      <alignment horizontal="left" vertical="top" wrapText="1"/>
    </xf>
    <xf numFmtId="0" fontId="7" fillId="4" borderId="5" xfId="0" applyFont="1" applyFill="1" applyBorder="1" applyAlignment="1" applyProtection="1">
      <alignment horizontal="left" vertical="center"/>
    </xf>
    <xf numFmtId="0" fontId="7" fillId="4" borderId="16" xfId="0" applyFont="1" applyFill="1" applyBorder="1" applyAlignment="1" applyProtection="1">
      <alignment horizontal="left" vertical="center"/>
    </xf>
    <xf numFmtId="0" fontId="7" fillId="4" borderId="6" xfId="0" applyFont="1" applyFill="1" applyBorder="1" applyAlignment="1" applyProtection="1">
      <alignment horizontal="left" vertical="center"/>
    </xf>
    <xf numFmtId="0" fontId="7" fillId="0" borderId="29" xfId="0" applyFont="1" applyBorder="1" applyAlignment="1" applyProtection="1">
      <alignment horizontal="left" vertical="top" wrapText="1"/>
    </xf>
    <xf numFmtId="178" fontId="6" fillId="4" borderId="15" xfId="0" applyNumberFormat="1" applyFont="1" applyFill="1" applyBorder="1" applyAlignment="1" applyProtection="1">
      <alignment horizontal="left"/>
    </xf>
    <xf numFmtId="178" fontId="6" fillId="4" borderId="4" xfId="0" applyNumberFormat="1" applyFont="1" applyFill="1" applyBorder="1" applyAlignment="1" applyProtection="1">
      <alignment horizontal="left"/>
    </xf>
    <xf numFmtId="0" fontId="7" fillId="4" borderId="15" xfId="0" applyFont="1" applyFill="1" applyBorder="1" applyAlignment="1" applyProtection="1">
      <alignment horizontal="left"/>
    </xf>
    <xf numFmtId="0" fontId="7" fillId="4" borderId="3" xfId="0" applyFont="1" applyFill="1" applyBorder="1" applyAlignment="1" applyProtection="1">
      <alignment horizontal="left" vertical="center" wrapText="1"/>
    </xf>
    <xf numFmtId="0" fontId="7" fillId="4" borderId="4" xfId="0" applyFont="1" applyFill="1" applyBorder="1" applyAlignment="1" applyProtection="1">
      <alignment horizontal="left" vertical="center" wrapText="1"/>
    </xf>
    <xf numFmtId="0" fontId="7" fillId="4" borderId="5" xfId="0" applyFont="1" applyFill="1" applyBorder="1" applyAlignment="1" applyProtection="1">
      <alignment horizontal="center" vertical="center" wrapText="1"/>
    </xf>
    <xf numFmtId="0" fontId="7" fillId="4" borderId="16" xfId="0" applyFont="1" applyFill="1" applyBorder="1" applyAlignment="1" applyProtection="1">
      <alignment horizontal="center" vertical="center" wrapText="1"/>
    </xf>
    <xf numFmtId="0" fontId="0" fillId="0" borderId="1" xfId="0" applyBorder="1" applyAlignment="1" applyProtection="1">
      <alignment horizontal="left" vertical="top" wrapText="1"/>
    </xf>
    <xf numFmtId="0" fontId="0" fillId="0" borderId="1" xfId="0" applyBorder="1" applyAlignment="1" applyProtection="1">
      <alignment horizontal="left" vertical="top"/>
    </xf>
    <xf numFmtId="0" fontId="21" fillId="0" borderId="1" xfId="0" applyFont="1" applyBorder="1" applyAlignment="1" applyProtection="1">
      <alignment horizontal="center" vertical="center"/>
    </xf>
    <xf numFmtId="0" fontId="6" fillId="4" borderId="15" xfId="0" applyFont="1" applyFill="1" applyBorder="1" applyAlignment="1" applyProtection="1">
      <alignment horizontal="center"/>
    </xf>
    <xf numFmtId="0" fontId="6" fillId="0" borderId="5" xfId="0" applyFont="1" applyBorder="1" applyAlignment="1" applyProtection="1">
      <alignment horizontal="center" vertical="center"/>
    </xf>
    <xf numFmtId="0" fontId="6" fillId="0" borderId="16" xfId="0" applyFont="1" applyBorder="1" applyAlignment="1" applyProtection="1">
      <alignment horizontal="center" vertical="center"/>
    </xf>
    <xf numFmtId="0" fontId="6" fillId="0" borderId="6" xfId="0" applyFont="1" applyBorder="1" applyAlignment="1" applyProtection="1">
      <alignment horizontal="center" vertical="center"/>
    </xf>
    <xf numFmtId="0" fontId="21" fillId="0" borderId="1" xfId="0" applyFont="1" applyBorder="1" applyAlignment="1" applyProtection="1">
      <alignment horizontal="center" vertical="center" wrapText="1"/>
    </xf>
    <xf numFmtId="0" fontId="7" fillId="0" borderId="28" xfId="0" applyFont="1" applyBorder="1" applyAlignment="1" applyProtection="1">
      <alignment horizontal="center"/>
    </xf>
    <xf numFmtId="0" fontId="7" fillId="0" borderId="18" xfId="0" applyFont="1" applyBorder="1" applyAlignment="1" applyProtection="1">
      <alignment horizontal="center"/>
    </xf>
    <xf numFmtId="0" fontId="7" fillId="4" borderId="5" xfId="0" applyFont="1" applyFill="1" applyBorder="1" applyAlignment="1" applyProtection="1">
      <alignment horizontal="left" vertical="top" wrapText="1"/>
    </xf>
    <xf numFmtId="0" fontId="7" fillId="4" borderId="6" xfId="0" applyFont="1" applyFill="1" applyBorder="1" applyAlignment="1" applyProtection="1">
      <alignment horizontal="left" vertical="top" wrapText="1"/>
    </xf>
    <xf numFmtId="0" fontId="7" fillId="0" borderId="0" xfId="0" applyFont="1" applyAlignment="1" applyProtection="1">
      <alignment horizontal="left"/>
    </xf>
    <xf numFmtId="0" fontId="41" fillId="0" borderId="27" xfId="0" applyFont="1" applyBorder="1" applyAlignment="1" applyProtection="1">
      <alignment horizontal="left" vertical="top" wrapText="1" readingOrder="1"/>
    </xf>
    <xf numFmtId="0" fontId="41" fillId="0" borderId="27" xfId="0" applyFont="1" applyBorder="1" applyAlignment="1" applyProtection="1">
      <alignment horizontal="left" vertical="top" readingOrder="1"/>
    </xf>
    <xf numFmtId="0" fontId="41" fillId="0" borderId="0" xfId="0" applyFont="1" applyBorder="1" applyAlignment="1" applyProtection="1">
      <alignment horizontal="left" vertical="top" readingOrder="1"/>
    </xf>
    <xf numFmtId="0" fontId="7" fillId="0" borderId="1" xfId="0" applyFont="1" applyBorder="1" applyAlignment="1" applyProtection="1">
      <alignment horizontal="center" wrapText="1"/>
    </xf>
    <xf numFmtId="0" fontId="0" fillId="0" borderId="1" xfId="0" applyBorder="1" applyAlignment="1" applyProtection="1">
      <alignment horizontal="left" vertical="center"/>
    </xf>
    <xf numFmtId="0" fontId="0" fillId="0" borderId="27" xfId="0" applyBorder="1" applyAlignment="1" applyProtection="1">
      <alignment horizontal="left" vertical="center" wrapText="1"/>
    </xf>
    <xf numFmtId="0" fontId="0" fillId="0" borderId="0" xfId="0" applyBorder="1" applyAlignment="1" applyProtection="1">
      <alignment horizontal="left" vertical="center" wrapText="1"/>
    </xf>
    <xf numFmtId="176" fontId="22" fillId="0" borderId="5" xfId="0" applyNumberFormat="1" applyFont="1" applyBorder="1" applyAlignment="1" applyProtection="1">
      <alignment horizontal="center" vertical="center"/>
    </xf>
    <xf numFmtId="176" fontId="22" fillId="0" borderId="6" xfId="0" applyNumberFormat="1" applyFont="1" applyBorder="1" applyAlignment="1" applyProtection="1">
      <alignment horizontal="center" vertical="center"/>
    </xf>
    <xf numFmtId="0" fontId="22" fillId="0" borderId="5" xfId="0" applyFont="1" applyBorder="1" applyAlignment="1" applyProtection="1">
      <alignment horizontal="center" vertical="center"/>
    </xf>
    <xf numFmtId="0" fontId="22" fillId="0" borderId="6" xfId="0" applyFont="1" applyBorder="1" applyAlignment="1" applyProtection="1">
      <alignment horizontal="center" vertical="center"/>
    </xf>
    <xf numFmtId="0" fontId="7" fillId="4" borderId="5" xfId="0" applyFont="1" applyFill="1" applyBorder="1" applyAlignment="1" applyProtection="1">
      <alignment horizontal="center" vertical="center"/>
    </xf>
    <xf numFmtId="0" fontId="7" fillId="4" borderId="6" xfId="0" applyFont="1" applyFill="1" applyBorder="1" applyAlignment="1" applyProtection="1">
      <alignment horizontal="center" vertical="center"/>
    </xf>
    <xf numFmtId="0" fontId="8" fillId="0" borderId="5" xfId="0" applyFont="1" applyBorder="1" applyAlignment="1" applyProtection="1">
      <alignment horizontal="center" vertical="center"/>
    </xf>
    <xf numFmtId="0" fontId="8" fillId="0" borderId="16" xfId="0" applyFont="1" applyBorder="1" applyAlignment="1" applyProtection="1">
      <alignment horizontal="center" vertical="center"/>
    </xf>
    <xf numFmtId="0" fontId="8" fillId="0" borderId="6" xfId="0" applyFont="1" applyBorder="1" applyAlignment="1" applyProtection="1">
      <alignment horizontal="center" vertical="center"/>
    </xf>
    <xf numFmtId="0" fontId="7" fillId="0" borderId="5" xfId="0" applyFont="1" applyBorder="1" applyAlignment="1" applyProtection="1">
      <alignment horizontal="center" vertical="center"/>
    </xf>
    <xf numFmtId="0" fontId="7" fillId="0" borderId="6" xfId="0" applyFont="1" applyBorder="1" applyAlignment="1" applyProtection="1">
      <alignment horizontal="center" vertical="center"/>
    </xf>
    <xf numFmtId="0" fontId="43" fillId="0" borderId="1" xfId="0" applyFont="1" applyBorder="1" applyAlignment="1" applyProtection="1">
      <alignment horizontal="center" vertical="center"/>
    </xf>
    <xf numFmtId="0" fontId="6" fillId="4" borderId="59" xfId="7" applyFont="1" applyFill="1" applyBorder="1" applyAlignment="1">
      <alignment horizontal="center" vertical="center" shrinkToFit="1"/>
    </xf>
    <xf numFmtId="0" fontId="2" fillId="4" borderId="59" xfId="7" applyFill="1" applyBorder="1" applyAlignment="1">
      <alignment horizontal="center" vertical="center"/>
    </xf>
    <xf numFmtId="0" fontId="21" fillId="4" borderId="59" xfId="0" applyFont="1" applyFill="1" applyBorder="1" applyAlignment="1" applyProtection="1">
      <alignment horizontal="center"/>
    </xf>
    <xf numFmtId="179" fontId="21" fillId="4" borderId="59" xfId="0" applyNumberFormat="1" applyFont="1" applyFill="1" applyBorder="1" applyAlignment="1" applyProtection="1">
      <alignment horizontal="left" wrapText="1"/>
    </xf>
    <xf numFmtId="0" fontId="0" fillId="0" borderId="59" xfId="0" applyFont="1" applyBorder="1" applyAlignment="1" applyProtection="1">
      <alignment horizontal="center" vertical="center"/>
    </xf>
    <xf numFmtId="0" fontId="58" fillId="0" borderId="59" xfId="0" applyFont="1" applyBorder="1" applyAlignment="1" applyProtection="1">
      <alignment horizontal="center" vertical="center"/>
    </xf>
    <xf numFmtId="179" fontId="21" fillId="4" borderId="68" xfId="0" applyNumberFormat="1" applyFont="1" applyFill="1" applyBorder="1" applyAlignment="1" applyProtection="1">
      <alignment horizontal="left" vertical="center" wrapText="1"/>
    </xf>
    <xf numFmtId="179" fontId="21" fillId="4" borderId="16" xfId="0" applyNumberFormat="1" applyFont="1" applyFill="1" applyBorder="1" applyAlignment="1" applyProtection="1">
      <alignment horizontal="left" vertical="center" wrapText="1"/>
    </xf>
    <xf numFmtId="179" fontId="21" fillId="4" borderId="6" xfId="0" applyNumberFormat="1" applyFont="1" applyFill="1" applyBorder="1" applyAlignment="1" applyProtection="1">
      <alignment horizontal="left" vertical="center" wrapText="1"/>
    </xf>
    <xf numFmtId="179" fontId="21" fillId="4" borderId="1" xfId="0" applyNumberFormat="1" applyFont="1" applyFill="1" applyBorder="1" applyAlignment="1" applyProtection="1">
      <alignment horizontal="center" vertical="center" wrapText="1"/>
    </xf>
    <xf numFmtId="179" fontId="21" fillId="4" borderId="64" xfId="0" applyNumberFormat="1" applyFont="1" applyFill="1" applyBorder="1" applyAlignment="1" applyProtection="1">
      <alignment horizontal="center" wrapText="1"/>
    </xf>
    <xf numFmtId="179" fontId="21" fillId="4" borderId="65" xfId="0" applyNumberFormat="1" applyFont="1" applyFill="1" applyBorder="1" applyAlignment="1" applyProtection="1">
      <alignment horizontal="center" wrapText="1"/>
    </xf>
    <xf numFmtId="0" fontId="58" fillId="5" borderId="64" xfId="0" applyFont="1" applyFill="1" applyBorder="1" applyAlignment="1" applyProtection="1">
      <alignment horizontal="center"/>
    </xf>
    <xf numFmtId="0" fontId="58" fillId="5" borderId="72" xfId="0" applyFont="1" applyFill="1" applyBorder="1" applyAlignment="1" applyProtection="1">
      <alignment horizontal="center"/>
    </xf>
    <xf numFmtId="0" fontId="58" fillId="5" borderId="65" xfId="0" applyFont="1" applyFill="1" applyBorder="1" applyAlignment="1" applyProtection="1">
      <alignment horizontal="center"/>
    </xf>
    <xf numFmtId="0" fontId="170" fillId="0" borderId="6" xfId="0" applyFont="1" applyBorder="1" applyAlignment="1" applyProtection="1">
      <alignment horizontal="center" vertical="center"/>
      <protection locked="0"/>
    </xf>
    <xf numFmtId="0" fontId="170" fillId="0" borderId="59" xfId="0" applyFont="1" applyBorder="1" applyAlignment="1" applyProtection="1">
      <alignment horizontal="center" vertical="center"/>
      <protection locked="0"/>
    </xf>
    <xf numFmtId="0" fontId="58" fillId="4" borderId="59" xfId="0" applyFont="1" applyFill="1" applyBorder="1" applyAlignment="1" applyProtection="1">
      <alignment horizontal="center" vertical="center" wrapText="1"/>
    </xf>
    <xf numFmtId="0" fontId="165" fillId="4" borderId="59" xfId="7" applyFont="1" applyFill="1" applyBorder="1" applyAlignment="1">
      <alignment horizontal="center" vertical="center"/>
    </xf>
    <xf numFmtId="0" fontId="2" fillId="4" borderId="59" xfId="7" applyFill="1" applyBorder="1" applyAlignment="1">
      <alignment horizontal="center" vertical="center" wrapText="1"/>
    </xf>
    <xf numFmtId="0" fontId="58" fillId="0" borderId="19" xfId="0" applyFont="1" applyBorder="1" applyAlignment="1" applyProtection="1">
      <alignment horizontal="left" vertical="justify" wrapText="1"/>
    </xf>
    <xf numFmtId="0" fontId="58" fillId="0" borderId="20" xfId="0" applyFont="1" applyBorder="1" applyAlignment="1" applyProtection="1">
      <alignment horizontal="left" vertical="justify" wrapText="1"/>
    </xf>
    <xf numFmtId="0" fontId="58" fillId="0" borderId="21" xfId="0" applyFont="1" applyBorder="1" applyAlignment="1" applyProtection="1">
      <alignment horizontal="left" vertical="justify" wrapText="1"/>
    </xf>
    <xf numFmtId="0" fontId="58" fillId="0" borderId="22" xfId="0" applyFont="1" applyBorder="1" applyAlignment="1" applyProtection="1">
      <alignment horizontal="left" vertical="justify" wrapText="1"/>
    </xf>
    <xf numFmtId="0" fontId="58" fillId="0" borderId="0" xfId="0" applyFont="1" applyBorder="1" applyAlignment="1" applyProtection="1">
      <alignment horizontal="left" vertical="justify" wrapText="1"/>
    </xf>
    <xf numFmtId="0" fontId="58" fillId="0" borderId="23" xfId="0" applyFont="1" applyBorder="1" applyAlignment="1" applyProtection="1">
      <alignment horizontal="left" vertical="justify" wrapText="1"/>
    </xf>
    <xf numFmtId="0" fontId="58" fillId="0" borderId="24" xfId="0" applyFont="1" applyBorder="1" applyAlignment="1" applyProtection="1">
      <alignment horizontal="left" vertical="justify" wrapText="1"/>
    </xf>
    <xf numFmtId="0" fontId="58" fillId="0" borderId="25" xfId="0" applyFont="1" applyBorder="1" applyAlignment="1" applyProtection="1">
      <alignment horizontal="left" vertical="justify" wrapText="1"/>
    </xf>
    <xf numFmtId="0" fontId="58" fillId="0" borderId="26" xfId="0" applyFont="1" applyBorder="1" applyAlignment="1" applyProtection="1">
      <alignment horizontal="left" vertical="justify" wrapText="1"/>
    </xf>
    <xf numFmtId="0" fontId="56" fillId="4" borderId="64" xfId="0" applyFont="1" applyFill="1" applyBorder="1" applyAlignment="1" applyProtection="1">
      <alignment horizontal="center"/>
    </xf>
    <xf numFmtId="0" fontId="56" fillId="4" borderId="65" xfId="0" applyFont="1" applyFill="1" applyBorder="1" applyAlignment="1" applyProtection="1">
      <alignment horizontal="center"/>
    </xf>
    <xf numFmtId="0" fontId="171" fillId="0" borderId="2" xfId="0" applyFont="1" applyBorder="1" applyAlignment="1" applyProtection="1">
      <alignment horizontal="center"/>
    </xf>
    <xf numFmtId="0" fontId="168" fillId="4" borderId="59" xfId="0" applyFont="1" applyFill="1" applyBorder="1" applyAlignment="1" applyProtection="1">
      <alignment horizontal="center" vertical="center"/>
    </xf>
    <xf numFmtId="0" fontId="169" fillId="4" borderId="59" xfId="0" applyFont="1" applyFill="1" applyBorder="1" applyAlignment="1" applyProtection="1">
      <alignment horizontal="center" vertical="center"/>
    </xf>
    <xf numFmtId="0" fontId="21" fillId="0" borderId="1" xfId="0" applyFont="1" applyBorder="1" applyAlignment="1" applyProtection="1">
      <alignment horizontal="center"/>
    </xf>
    <xf numFmtId="0" fontId="82" fillId="4" borderId="1" xfId="0" applyFont="1" applyFill="1" applyBorder="1" applyAlignment="1" applyProtection="1">
      <alignment horizontal="left" vertical="center" wrapText="1"/>
    </xf>
    <xf numFmtId="0" fontId="82" fillId="4" borderId="1" xfId="0" applyFont="1" applyFill="1" applyBorder="1" applyAlignment="1" applyProtection="1">
      <alignment horizontal="left" vertical="center"/>
    </xf>
    <xf numFmtId="189" fontId="21" fillId="4" borderId="1" xfId="0" applyNumberFormat="1" applyFont="1" applyFill="1" applyBorder="1" applyAlignment="1" applyProtection="1">
      <alignment horizontal="center" vertical="center"/>
    </xf>
    <xf numFmtId="0" fontId="0" fillId="4" borderId="1" xfId="0" applyFill="1" applyBorder="1" applyAlignment="1" applyProtection="1">
      <alignment horizontal="center" vertical="center" wrapText="1"/>
    </xf>
    <xf numFmtId="0" fontId="0" fillId="0" borderId="64" xfId="0" applyBorder="1" applyAlignment="1" applyProtection="1">
      <alignment horizontal="center"/>
    </xf>
    <xf numFmtId="0" fontId="0" fillId="0" borderId="65" xfId="0" applyBorder="1" applyAlignment="1" applyProtection="1">
      <alignment horizontal="center"/>
    </xf>
    <xf numFmtId="0" fontId="21" fillId="5" borderId="1" xfId="0" applyFont="1" applyFill="1" applyBorder="1" applyAlignment="1" applyProtection="1">
      <alignment horizontal="left"/>
    </xf>
    <xf numFmtId="0" fontId="176" fillId="4" borderId="1" xfId="8" applyFont="1" applyFill="1" applyBorder="1" applyAlignment="1" applyProtection="1">
      <alignment horizontal="center" wrapText="1"/>
    </xf>
    <xf numFmtId="0" fontId="175" fillId="0" borderId="1" xfId="8" applyFont="1" applyBorder="1" applyAlignment="1" applyProtection="1">
      <alignment horizontal="center" wrapText="1"/>
    </xf>
    <xf numFmtId="0" fontId="0" fillId="3" borderId="59" xfId="0" applyFill="1" applyBorder="1" applyAlignment="1" applyProtection="1">
      <alignment horizontal="left"/>
    </xf>
    <xf numFmtId="0" fontId="0" fillId="3" borderId="59" xfId="0" applyFont="1" applyFill="1" applyBorder="1" applyAlignment="1" applyProtection="1">
      <alignment horizontal="left"/>
    </xf>
    <xf numFmtId="0" fontId="0" fillId="5" borderId="59" xfId="0" applyFill="1" applyBorder="1" applyAlignment="1" applyProtection="1">
      <alignment horizontal="left"/>
    </xf>
    <xf numFmtId="0" fontId="0" fillId="5" borderId="59" xfId="0" applyFont="1" applyFill="1" applyBorder="1" applyAlignment="1" applyProtection="1">
      <alignment horizontal="left"/>
    </xf>
    <xf numFmtId="0" fontId="0" fillId="0" borderId="59" xfId="0" applyFont="1" applyBorder="1" applyAlignment="1" applyProtection="1">
      <alignment horizontal="left"/>
    </xf>
    <xf numFmtId="0" fontId="83" fillId="0" borderId="61" xfId="0" applyFont="1" applyBorder="1" applyAlignment="1" applyProtection="1">
      <alignment horizontal="left" vertical="center" wrapText="1"/>
    </xf>
    <xf numFmtId="0" fontId="83" fillId="0" borderId="16" xfId="0" applyFont="1" applyBorder="1" applyAlignment="1" applyProtection="1">
      <alignment horizontal="left" vertical="center" wrapText="1"/>
    </xf>
    <xf numFmtId="0" fontId="21" fillId="4" borderId="1" xfId="0" applyFont="1" applyFill="1" applyBorder="1" applyAlignment="1" applyProtection="1">
      <alignment horizontal="left" vertical="center"/>
    </xf>
    <xf numFmtId="0" fontId="83" fillId="0" borderId="59" xfId="0" applyFont="1" applyBorder="1" applyAlignment="1" applyProtection="1">
      <alignment horizontal="left" wrapText="1"/>
    </xf>
    <xf numFmtId="0" fontId="83" fillId="0" borderId="6" xfId="0" applyFont="1" applyBorder="1" applyAlignment="1" applyProtection="1">
      <alignment horizontal="left" vertical="center" wrapText="1"/>
    </xf>
    <xf numFmtId="0" fontId="0" fillId="3" borderId="64" xfId="0" applyFill="1" applyBorder="1" applyAlignment="1" applyProtection="1">
      <alignment horizontal="center"/>
    </xf>
    <xf numFmtId="0" fontId="0" fillId="3" borderId="65" xfId="0" applyFill="1" applyBorder="1" applyAlignment="1" applyProtection="1">
      <alignment horizontal="center"/>
    </xf>
    <xf numFmtId="0" fontId="58" fillId="3" borderId="64" xfId="0" applyFont="1" applyFill="1" applyBorder="1" applyAlignment="1" applyProtection="1">
      <alignment horizontal="center"/>
    </xf>
    <xf numFmtId="0" fontId="58" fillId="3" borderId="65" xfId="0" applyFont="1" applyFill="1" applyBorder="1" applyAlignment="1" applyProtection="1">
      <alignment horizontal="center"/>
    </xf>
    <xf numFmtId="0" fontId="58" fillId="5" borderId="62" xfId="0" applyFont="1" applyFill="1" applyBorder="1" applyAlignment="1" applyProtection="1">
      <alignment horizontal="center" vertical="center" wrapText="1"/>
    </xf>
    <xf numFmtId="0" fontId="58" fillId="5" borderId="63" xfId="0" applyFont="1" applyFill="1" applyBorder="1" applyAlignment="1" applyProtection="1">
      <alignment horizontal="center" vertical="center"/>
    </xf>
    <xf numFmtId="0" fontId="58" fillId="5" borderId="29" xfId="0" applyFont="1" applyFill="1" applyBorder="1" applyAlignment="1" applyProtection="1">
      <alignment horizontal="center" vertical="center"/>
    </xf>
    <xf numFmtId="0" fontId="58" fillId="5" borderId="58" xfId="0" applyFont="1" applyFill="1" applyBorder="1" applyAlignment="1" applyProtection="1">
      <alignment horizontal="center" vertical="center"/>
    </xf>
    <xf numFmtId="0" fontId="58" fillId="5" borderId="28" xfId="0" applyFont="1" applyFill="1" applyBorder="1" applyAlignment="1" applyProtection="1">
      <alignment horizontal="center" vertical="center"/>
    </xf>
    <xf numFmtId="0" fontId="58" fillId="5" borderId="18" xfId="0" applyFont="1" applyFill="1" applyBorder="1" applyAlignment="1" applyProtection="1">
      <alignment horizontal="center" vertical="center"/>
    </xf>
    <xf numFmtId="0" fontId="58" fillId="5" borderId="59" xfId="0" applyFont="1" applyFill="1" applyBorder="1" applyAlignment="1" applyProtection="1">
      <alignment horizontal="left"/>
    </xf>
    <xf numFmtId="0" fontId="58" fillId="3" borderId="59" xfId="0" applyFont="1" applyFill="1" applyBorder="1" applyAlignment="1" applyProtection="1">
      <alignment horizontal="left"/>
    </xf>
    <xf numFmtId="0" fontId="21" fillId="5" borderId="59" xfId="0" applyFont="1" applyFill="1" applyBorder="1" applyAlignment="1" applyProtection="1">
      <alignment horizontal="left" vertical="center" wrapText="1"/>
    </xf>
    <xf numFmtId="0" fontId="21" fillId="5" borderId="59" xfId="0" applyFont="1" applyFill="1" applyBorder="1" applyAlignment="1" applyProtection="1">
      <alignment horizontal="left" vertical="center"/>
    </xf>
    <xf numFmtId="0" fontId="58" fillId="3" borderId="3" xfId="0" applyFont="1" applyFill="1" applyBorder="1" applyAlignment="1" applyProtection="1">
      <alignment horizontal="center"/>
    </xf>
    <xf numFmtId="0" fontId="56" fillId="4" borderId="3" xfId="0" applyFont="1" applyFill="1" applyBorder="1" applyAlignment="1" applyProtection="1">
      <alignment horizontal="center"/>
    </xf>
    <xf numFmtId="0" fontId="58" fillId="5" borderId="64" xfId="0" applyFont="1" applyFill="1" applyBorder="1" applyAlignment="1" applyProtection="1">
      <alignment horizontal="left"/>
    </xf>
    <xf numFmtId="0" fontId="58" fillId="5" borderId="60" xfId="0" applyFont="1" applyFill="1" applyBorder="1" applyAlignment="1" applyProtection="1">
      <alignment horizontal="left"/>
    </xf>
    <xf numFmtId="0" fontId="58" fillId="3" borderId="64" xfId="0" applyFont="1" applyFill="1" applyBorder="1" applyAlignment="1" applyProtection="1">
      <alignment horizontal="left"/>
    </xf>
    <xf numFmtId="0" fontId="58" fillId="3" borderId="60" xfId="0" applyFont="1" applyFill="1" applyBorder="1" applyAlignment="1" applyProtection="1">
      <alignment horizontal="left"/>
    </xf>
    <xf numFmtId="0" fontId="58" fillId="3" borderId="65" xfId="0" applyFont="1" applyFill="1" applyBorder="1" applyAlignment="1" applyProtection="1">
      <alignment horizontal="left"/>
    </xf>
    <xf numFmtId="0" fontId="21" fillId="4" borderId="68" xfId="0" applyFont="1" applyFill="1" applyBorder="1" applyAlignment="1" applyProtection="1">
      <alignment horizontal="left" vertical="center"/>
    </xf>
    <xf numFmtId="0" fontId="21" fillId="4" borderId="16" xfId="0" applyFont="1" applyFill="1" applyBorder="1" applyAlignment="1" applyProtection="1">
      <alignment horizontal="left" vertical="center"/>
    </xf>
    <xf numFmtId="0" fontId="21" fillId="4" borderId="6" xfId="0" applyFont="1" applyFill="1" applyBorder="1" applyAlignment="1" applyProtection="1">
      <alignment horizontal="left" vertical="center"/>
    </xf>
    <xf numFmtId="0" fontId="87" fillId="4" borderId="64" xfId="0" applyFont="1" applyFill="1" applyBorder="1" applyAlignment="1" applyProtection="1">
      <alignment horizontal="center"/>
    </xf>
    <xf numFmtId="0" fontId="87" fillId="4" borderId="65" xfId="0" applyFont="1" applyFill="1" applyBorder="1" applyAlignment="1" applyProtection="1">
      <alignment horizontal="center"/>
    </xf>
    <xf numFmtId="0" fontId="58" fillId="5" borderId="59" xfId="0" applyFont="1" applyFill="1" applyBorder="1" applyAlignment="1" applyProtection="1">
      <alignment horizontal="center" vertical="center"/>
    </xf>
    <xf numFmtId="0" fontId="58" fillId="4" borderId="1" xfId="0" applyFont="1" applyFill="1" applyBorder="1" applyAlignment="1" applyProtection="1">
      <alignment horizontal="center"/>
    </xf>
    <xf numFmtId="0" fontId="58" fillId="5" borderId="62" xfId="0" applyFont="1" applyFill="1" applyBorder="1" applyAlignment="1" applyProtection="1">
      <alignment horizontal="left"/>
    </xf>
    <xf numFmtId="0" fontId="58" fillId="5" borderId="63" xfId="0" applyFont="1" applyFill="1" applyBorder="1" applyAlignment="1" applyProtection="1">
      <alignment horizontal="left"/>
    </xf>
    <xf numFmtId="0" fontId="58" fillId="5" borderId="28" xfId="0" applyFont="1" applyFill="1" applyBorder="1" applyAlignment="1" applyProtection="1">
      <alignment horizontal="left"/>
    </xf>
    <xf numFmtId="0" fontId="58" fillId="5" borderId="18" xfId="0" applyFont="1" applyFill="1" applyBorder="1" applyAlignment="1" applyProtection="1">
      <alignment horizontal="left"/>
    </xf>
    <xf numFmtId="0" fontId="58" fillId="5" borderId="62" xfId="0" applyFont="1" applyFill="1" applyBorder="1" applyAlignment="1" applyProtection="1">
      <alignment horizontal="center" vertical="center"/>
    </xf>
    <xf numFmtId="0" fontId="0" fillId="4" borderId="59" xfId="0" applyFill="1" applyBorder="1" applyAlignment="1" applyProtection="1">
      <alignment horizontal="center"/>
    </xf>
    <xf numFmtId="0" fontId="58" fillId="8" borderId="1" xfId="0" applyFont="1" applyFill="1" applyBorder="1" applyAlignment="1" applyProtection="1">
      <alignment horizontal="center" vertical="center"/>
      <protection locked="0"/>
    </xf>
    <xf numFmtId="0" fontId="0" fillId="5" borderId="0" xfId="0" applyFill="1" applyAlignment="1" applyProtection="1">
      <alignment horizontal="center"/>
    </xf>
    <xf numFmtId="0" fontId="58" fillId="0" borderId="19" xfId="0" applyFont="1" applyBorder="1" applyAlignment="1" applyProtection="1">
      <alignment horizontal="left" vertical="top" wrapText="1"/>
    </xf>
    <xf numFmtId="0" fontId="58" fillId="0" borderId="20" xfId="0" applyFont="1" applyBorder="1" applyAlignment="1" applyProtection="1">
      <alignment horizontal="left" vertical="top" wrapText="1"/>
    </xf>
    <xf numFmtId="0" fontId="58" fillId="0" borderId="21" xfId="0" applyFont="1" applyBorder="1" applyAlignment="1" applyProtection="1">
      <alignment horizontal="left" vertical="top" wrapText="1"/>
    </xf>
    <xf numFmtId="0" fontId="58" fillId="0" borderId="22" xfId="0" applyFont="1" applyBorder="1" applyAlignment="1" applyProtection="1">
      <alignment horizontal="left" vertical="top" wrapText="1"/>
    </xf>
    <xf numFmtId="0" fontId="58" fillId="0" borderId="0" xfId="0" applyFont="1" applyBorder="1" applyAlignment="1" applyProtection="1">
      <alignment horizontal="left" vertical="top" wrapText="1"/>
    </xf>
    <xf numFmtId="0" fontId="58" fillId="0" borderId="23" xfId="0" applyFont="1" applyBorder="1" applyAlignment="1" applyProtection="1">
      <alignment horizontal="left" vertical="top" wrapText="1"/>
    </xf>
    <xf numFmtId="179" fontId="56" fillId="4" borderId="3" xfId="0" applyNumberFormat="1" applyFont="1" applyFill="1" applyBorder="1" applyAlignment="1" applyProtection="1">
      <alignment horizontal="left"/>
    </xf>
    <xf numFmtId="179" fontId="56" fillId="4" borderId="65" xfId="0" applyNumberFormat="1" applyFont="1" applyFill="1" applyBorder="1" applyAlignment="1" applyProtection="1">
      <alignment horizontal="left"/>
    </xf>
    <xf numFmtId="3" fontId="58" fillId="5" borderId="68" xfId="0" applyNumberFormat="1" applyFont="1" applyFill="1" applyBorder="1" applyAlignment="1" applyProtection="1">
      <alignment horizontal="center" vertical="center" wrapText="1"/>
    </xf>
    <xf numFmtId="3" fontId="58" fillId="5" borderId="16" xfId="0" applyNumberFormat="1" applyFont="1" applyFill="1" applyBorder="1" applyAlignment="1" applyProtection="1">
      <alignment horizontal="center" vertical="center" wrapText="1"/>
    </xf>
    <xf numFmtId="3" fontId="58" fillId="5" borderId="6" xfId="0" applyNumberFormat="1" applyFont="1" applyFill="1" applyBorder="1" applyAlignment="1" applyProtection="1">
      <alignment horizontal="center" vertical="center" wrapText="1"/>
    </xf>
    <xf numFmtId="3" fontId="58" fillId="3" borderId="68" xfId="0" applyNumberFormat="1" applyFont="1" applyFill="1" applyBorder="1" applyAlignment="1" applyProtection="1">
      <alignment horizontal="center" vertical="center" wrapText="1"/>
    </xf>
    <xf numFmtId="3" fontId="58" fillId="3" borderId="16" xfId="0" applyNumberFormat="1" applyFont="1" applyFill="1" applyBorder="1" applyAlignment="1" applyProtection="1">
      <alignment horizontal="center" vertical="center" wrapText="1"/>
    </xf>
    <xf numFmtId="3" fontId="58" fillId="3" borderId="6" xfId="0" applyNumberFormat="1" applyFont="1" applyFill="1" applyBorder="1" applyAlignment="1" applyProtection="1">
      <alignment horizontal="center" vertical="center" wrapText="1"/>
    </xf>
    <xf numFmtId="0" fontId="58" fillId="4" borderId="69" xfId="0" applyFont="1" applyFill="1" applyBorder="1" applyAlignment="1" applyProtection="1">
      <alignment horizontal="left" vertical="top" wrapText="1"/>
    </xf>
    <xf numFmtId="0" fontId="58" fillId="4" borderId="70" xfId="0" applyFont="1" applyFill="1" applyBorder="1" applyAlignment="1" applyProtection="1">
      <alignment horizontal="left" vertical="top" wrapText="1"/>
    </xf>
    <xf numFmtId="0" fontId="58" fillId="4" borderId="71" xfId="0" applyFont="1" applyFill="1" applyBorder="1" applyAlignment="1" applyProtection="1">
      <alignment horizontal="left" vertical="top" wrapText="1"/>
    </xf>
    <xf numFmtId="0" fontId="58" fillId="4" borderId="29" xfId="0" applyFont="1" applyFill="1" applyBorder="1" applyAlignment="1" applyProtection="1">
      <alignment horizontal="left" vertical="top" wrapText="1"/>
    </xf>
    <xf numFmtId="0" fontId="58" fillId="4" borderId="0" xfId="0" applyFont="1" applyFill="1" applyBorder="1" applyAlignment="1" applyProtection="1">
      <alignment horizontal="left" vertical="top" wrapText="1"/>
    </xf>
    <xf numFmtId="0" fontId="58" fillId="4" borderId="58" xfId="0" applyFont="1" applyFill="1" applyBorder="1" applyAlignment="1" applyProtection="1">
      <alignment horizontal="left" vertical="top" wrapText="1"/>
    </xf>
    <xf numFmtId="0" fontId="58" fillId="4" borderId="28" xfId="0" applyFont="1" applyFill="1" applyBorder="1" applyAlignment="1" applyProtection="1">
      <alignment horizontal="left" vertical="top" wrapText="1"/>
    </xf>
    <xf numFmtId="0" fontId="58" fillId="4" borderId="2" xfId="0" applyFont="1" applyFill="1" applyBorder="1" applyAlignment="1" applyProtection="1">
      <alignment horizontal="left" vertical="top" wrapText="1"/>
    </xf>
    <xf numFmtId="0" fontId="58" fillId="4" borderId="18" xfId="0" applyFont="1" applyFill="1" applyBorder="1" applyAlignment="1" applyProtection="1">
      <alignment horizontal="left" vertical="top" wrapText="1"/>
    </xf>
    <xf numFmtId="0" fontId="78" fillId="0" borderId="0" xfId="0" applyFont="1" applyAlignment="1" applyProtection="1">
      <alignment horizontal="center"/>
    </xf>
    <xf numFmtId="0" fontId="21" fillId="0" borderId="7" xfId="0" applyFont="1" applyBorder="1" applyAlignment="1" applyProtection="1">
      <alignment horizontal="center" vertical="center" wrapText="1"/>
    </xf>
    <xf numFmtId="0" fontId="21" fillId="0" borderId="10" xfId="0" applyFont="1" applyBorder="1" applyAlignment="1" applyProtection="1">
      <alignment horizontal="center" vertical="center"/>
    </xf>
    <xf numFmtId="0" fontId="21" fillId="0" borderId="8" xfId="0" applyFont="1" applyBorder="1" applyAlignment="1" applyProtection="1">
      <alignment horizontal="center"/>
    </xf>
    <xf numFmtId="0" fontId="0" fillId="0" borderId="8" xfId="0" applyBorder="1" applyAlignment="1" applyProtection="1">
      <alignment horizontal="center"/>
    </xf>
    <xf numFmtId="0" fontId="0" fillId="0" borderId="9" xfId="0" applyBorder="1" applyAlignment="1" applyProtection="1">
      <alignment horizontal="center"/>
    </xf>
    <xf numFmtId="0" fontId="0" fillId="0" borderId="20" xfId="0" applyBorder="1" applyAlignment="1" applyProtection="1">
      <alignment horizontal="left" vertical="center"/>
    </xf>
    <xf numFmtId="0" fontId="0" fillId="0" borderId="21" xfId="0" applyBorder="1" applyAlignment="1" applyProtection="1">
      <alignment horizontal="left" vertical="center"/>
    </xf>
    <xf numFmtId="0" fontId="58" fillId="4" borderId="5" xfId="0" applyFont="1" applyFill="1" applyBorder="1" applyAlignment="1" applyProtection="1">
      <alignment horizontal="center" vertical="center"/>
    </xf>
    <xf numFmtId="0" fontId="58" fillId="4" borderId="16" xfId="0" applyFont="1" applyFill="1" applyBorder="1" applyAlignment="1" applyProtection="1">
      <alignment horizontal="center" vertical="center"/>
    </xf>
    <xf numFmtId="0" fontId="58" fillId="4" borderId="6" xfId="0" applyFont="1" applyFill="1" applyBorder="1" applyAlignment="1" applyProtection="1">
      <alignment horizontal="center" vertical="center"/>
    </xf>
    <xf numFmtId="0" fontId="48" fillId="0" borderId="3" xfId="0" applyFont="1" applyBorder="1" applyAlignment="1" applyProtection="1">
      <alignment horizontal="center"/>
    </xf>
    <xf numFmtId="0" fontId="48" fillId="0" borderId="15" xfId="0" applyFont="1" applyBorder="1" applyAlignment="1" applyProtection="1">
      <alignment horizontal="center"/>
    </xf>
    <xf numFmtId="0" fontId="48" fillId="0" borderId="4" xfId="0" applyFont="1" applyBorder="1" applyAlignment="1" applyProtection="1">
      <alignment horizontal="center"/>
    </xf>
    <xf numFmtId="0" fontId="21" fillId="0" borderId="3" xfId="0" applyFont="1" applyBorder="1" applyAlignment="1" applyProtection="1">
      <alignment horizontal="center" wrapText="1"/>
    </xf>
    <xf numFmtId="0" fontId="21" fillId="0" borderId="15" xfId="0" applyFont="1" applyBorder="1" applyAlignment="1" applyProtection="1">
      <alignment horizontal="center"/>
    </xf>
    <xf numFmtId="0" fontId="21" fillId="0" borderId="57" xfId="0" applyFont="1" applyBorder="1" applyAlignment="1" applyProtection="1">
      <alignment horizontal="center"/>
    </xf>
    <xf numFmtId="0" fontId="0" fillId="0" borderId="0" xfId="0" applyBorder="1" applyAlignment="1" applyProtection="1">
      <alignment horizontal="left"/>
    </xf>
    <xf numFmtId="0" fontId="0" fillId="0" borderId="23" xfId="0" applyBorder="1" applyAlignment="1" applyProtection="1">
      <alignment horizontal="left"/>
    </xf>
    <xf numFmtId="0" fontId="21" fillId="0" borderId="10" xfId="0" applyFont="1" applyBorder="1" applyAlignment="1" applyProtection="1">
      <alignment horizontal="center" vertical="center" wrapText="1"/>
    </xf>
    <xf numFmtId="184" fontId="49" fillId="0" borderId="1" xfId="0" applyNumberFormat="1" applyFont="1" applyBorder="1" applyAlignment="1" applyProtection="1">
      <alignment horizontal="center" vertical="center"/>
    </xf>
    <xf numFmtId="184" fontId="49" fillId="0" borderId="11" xfId="0" applyNumberFormat="1" applyFont="1" applyBorder="1" applyAlignment="1" applyProtection="1">
      <alignment horizontal="center" vertical="center"/>
    </xf>
    <xf numFmtId="0" fontId="58" fillId="4" borderId="1" xfId="0" applyFont="1" applyFill="1" applyBorder="1" applyAlignment="1" applyProtection="1">
      <alignment horizontal="left" vertical="center" wrapText="1"/>
    </xf>
    <xf numFmtId="0" fontId="0" fillId="0" borderId="10" xfId="0" applyBorder="1" applyAlignment="1" applyProtection="1">
      <alignment horizontal="center" vertical="center"/>
    </xf>
    <xf numFmtId="0" fontId="58" fillId="0" borderId="24" xfId="0" applyFont="1" applyBorder="1" applyAlignment="1" applyProtection="1">
      <alignment horizontal="left" vertical="top" wrapText="1"/>
    </xf>
    <xf numFmtId="0" fontId="58" fillId="0" borderId="25" xfId="0" applyFont="1" applyBorder="1" applyAlignment="1" applyProtection="1">
      <alignment horizontal="left" vertical="top" wrapText="1"/>
    </xf>
    <xf numFmtId="0" fontId="58" fillId="0" borderId="26" xfId="0" applyFont="1" applyBorder="1" applyAlignment="1" applyProtection="1">
      <alignment horizontal="left" vertical="top" wrapText="1"/>
    </xf>
    <xf numFmtId="0" fontId="0" fillId="0" borderId="12" xfId="0" applyBorder="1" applyAlignment="1" applyProtection="1">
      <alignment horizontal="center" vertical="center"/>
    </xf>
    <xf numFmtId="184" fontId="49" fillId="0" borderId="13" xfId="0" applyNumberFormat="1" applyFont="1" applyBorder="1" applyAlignment="1" applyProtection="1">
      <alignment horizontal="center" vertical="center"/>
    </xf>
    <xf numFmtId="184" fontId="49" fillId="0" borderId="14" xfId="0" applyNumberFormat="1" applyFont="1" applyBorder="1" applyAlignment="1" applyProtection="1">
      <alignment horizontal="center" vertical="center"/>
    </xf>
    <xf numFmtId="0" fontId="58" fillId="4" borderId="5" xfId="0" applyFont="1" applyFill="1" applyBorder="1" applyAlignment="1" applyProtection="1">
      <alignment horizontal="left" vertical="center" wrapText="1"/>
    </xf>
    <xf numFmtId="0" fontId="58" fillId="4" borderId="16" xfId="0" applyFont="1" applyFill="1" applyBorder="1" applyAlignment="1" applyProtection="1">
      <alignment horizontal="left" vertical="center" wrapText="1"/>
    </xf>
    <xf numFmtId="0" fontId="58" fillId="4" borderId="6" xfId="0" applyFont="1" applyFill="1" applyBorder="1" applyAlignment="1" applyProtection="1">
      <alignment horizontal="left" vertical="center" wrapText="1"/>
    </xf>
    <xf numFmtId="0" fontId="58" fillId="4" borderId="1" xfId="0" applyFont="1" applyFill="1" applyBorder="1" applyAlignment="1" applyProtection="1">
      <alignment horizontal="center" vertical="center" wrapText="1"/>
    </xf>
    <xf numFmtId="0" fontId="58" fillId="4" borderId="30" xfId="0" applyFont="1" applyFill="1" applyBorder="1" applyAlignment="1" applyProtection="1">
      <alignment horizontal="center" vertical="center" wrapText="1"/>
    </xf>
    <xf numFmtId="0" fontId="58" fillId="4" borderId="5" xfId="0" applyFont="1" applyFill="1" applyBorder="1" applyAlignment="1" applyProtection="1">
      <alignment horizontal="left" wrapText="1"/>
    </xf>
    <xf numFmtId="0" fontId="58" fillId="4" borderId="16" xfId="0" applyFont="1" applyFill="1" applyBorder="1" applyAlignment="1" applyProtection="1">
      <alignment horizontal="left" wrapText="1"/>
    </xf>
    <xf numFmtId="0" fontId="0" fillId="4" borderId="16" xfId="0" applyFill="1" applyBorder="1" applyAlignment="1" applyProtection="1">
      <alignment horizontal="center" vertical="center" wrapText="1"/>
    </xf>
    <xf numFmtId="0" fontId="0" fillId="4" borderId="6" xfId="0" applyFill="1" applyBorder="1" applyAlignment="1" applyProtection="1">
      <alignment horizontal="center" vertical="center" wrapText="1"/>
    </xf>
    <xf numFmtId="0" fontId="21" fillId="4" borderId="5" xfId="0" applyFont="1" applyFill="1" applyBorder="1" applyAlignment="1" applyProtection="1">
      <alignment horizontal="left" vertical="center" wrapText="1"/>
    </xf>
    <xf numFmtId="0" fontId="0" fillId="4" borderId="16" xfId="0" applyFont="1" applyFill="1" applyBorder="1" applyAlignment="1" applyProtection="1">
      <alignment horizontal="left" vertical="center" wrapText="1"/>
    </xf>
    <xf numFmtId="0" fontId="0" fillId="4" borderId="6" xfId="0" applyFont="1" applyFill="1" applyBorder="1" applyAlignment="1" applyProtection="1">
      <alignment horizontal="left" vertical="center" wrapText="1"/>
    </xf>
    <xf numFmtId="0" fontId="66" fillId="0" borderId="1" xfId="0" applyFont="1" applyBorder="1" applyAlignment="1" applyProtection="1">
      <alignment horizontal="center" wrapText="1"/>
    </xf>
    <xf numFmtId="0" fontId="58" fillId="0" borderId="30" xfId="0" applyFont="1" applyBorder="1" applyAlignment="1" applyProtection="1">
      <alignment horizontal="left" wrapText="1"/>
    </xf>
    <xf numFmtId="0" fontId="58" fillId="0" borderId="27" xfId="0" applyFont="1" applyBorder="1" applyAlignment="1" applyProtection="1">
      <alignment horizontal="left" wrapText="1"/>
    </xf>
    <xf numFmtId="0" fontId="58" fillId="0" borderId="17" xfId="0" applyFont="1" applyBorder="1" applyAlignment="1" applyProtection="1">
      <alignment horizontal="left" wrapText="1"/>
    </xf>
    <xf numFmtId="0" fontId="58" fillId="0" borderId="29" xfId="0" applyFont="1" applyBorder="1" applyAlignment="1" applyProtection="1">
      <alignment horizontal="left" wrapText="1"/>
    </xf>
    <xf numFmtId="0" fontId="58" fillId="0" borderId="0" xfId="0" applyFont="1" applyBorder="1" applyAlignment="1" applyProtection="1">
      <alignment horizontal="left" wrapText="1"/>
    </xf>
    <xf numFmtId="0" fontId="58" fillId="0" borderId="58" xfId="0" applyFont="1" applyBorder="1" applyAlignment="1" applyProtection="1">
      <alignment horizontal="left" wrapText="1"/>
    </xf>
    <xf numFmtId="0" fontId="58" fillId="0" borderId="28" xfId="0" applyFont="1" applyBorder="1" applyAlignment="1" applyProtection="1">
      <alignment horizontal="left" wrapText="1"/>
    </xf>
    <xf numFmtId="0" fontId="58" fillId="0" borderId="2" xfId="0" applyFont="1" applyBorder="1" applyAlignment="1" applyProtection="1">
      <alignment horizontal="left" wrapText="1"/>
    </xf>
    <xf numFmtId="0" fontId="58" fillId="0" borderId="18" xfId="0" applyFont="1" applyBorder="1" applyAlignment="1" applyProtection="1">
      <alignment horizontal="left" wrapText="1"/>
    </xf>
    <xf numFmtId="0" fontId="5" fillId="0" borderId="44" xfId="1" applyBorder="1" applyAlignment="1" applyProtection="1">
      <alignment horizontal="center" wrapText="1"/>
    </xf>
    <xf numFmtId="0" fontId="5" fillId="0" borderId="45" xfId="1" applyBorder="1" applyAlignment="1" applyProtection="1">
      <alignment horizontal="center" wrapText="1"/>
    </xf>
    <xf numFmtId="0" fontId="5" fillId="0" borderId="46" xfId="1" applyBorder="1" applyAlignment="1" applyProtection="1">
      <alignment horizontal="center" wrapText="1"/>
    </xf>
    <xf numFmtId="0" fontId="5" fillId="0" borderId="49" xfId="1" applyBorder="1" applyAlignment="1" applyProtection="1">
      <alignment horizontal="center" vertical="center" wrapText="1"/>
    </xf>
    <xf numFmtId="0" fontId="5" fillId="0" borderId="51" xfId="1" applyBorder="1" applyAlignment="1" applyProtection="1">
      <alignment horizontal="center" vertical="center" wrapText="1"/>
    </xf>
    <xf numFmtId="0" fontId="5" fillId="0" borderId="47" xfId="1" applyBorder="1" applyAlignment="1" applyProtection="1">
      <alignment horizontal="center" vertical="center" wrapText="1"/>
    </xf>
    <xf numFmtId="0" fontId="5" fillId="0" borderId="49" xfId="1" applyBorder="1" applyAlignment="1" applyProtection="1">
      <alignment horizontal="center" wrapText="1"/>
    </xf>
    <xf numFmtId="0" fontId="5" fillId="0" borderId="51" xfId="1" applyBorder="1" applyAlignment="1" applyProtection="1">
      <alignment horizontal="center" wrapText="1"/>
    </xf>
    <xf numFmtId="0" fontId="5" fillId="0" borderId="47" xfId="1" applyBorder="1" applyAlignment="1" applyProtection="1">
      <alignment horizontal="center" wrapText="1"/>
    </xf>
    <xf numFmtId="0" fontId="5" fillId="0" borderId="42" xfId="1" applyBorder="1" applyAlignment="1" applyProtection="1">
      <alignment horizontal="center" vertical="center" wrapText="1"/>
    </xf>
    <xf numFmtId="0" fontId="73" fillId="0" borderId="43" xfId="1" applyFont="1" applyBorder="1" applyAlignment="1" applyProtection="1">
      <alignment horizontal="center" vertical="center" wrapText="1"/>
    </xf>
    <xf numFmtId="0" fontId="73" fillId="0" borderId="34" xfId="1" applyFont="1" applyBorder="1" applyAlignment="1" applyProtection="1">
      <alignment horizontal="center" vertical="center" wrapText="1"/>
    </xf>
    <xf numFmtId="0" fontId="5" fillId="0" borderId="52" xfId="1" applyBorder="1" applyAlignment="1" applyProtection="1">
      <alignment horizontal="center" wrapText="1"/>
    </xf>
    <xf numFmtId="0" fontId="74" fillId="0" borderId="21" xfId="0" applyFont="1" applyBorder="1" applyAlignment="1" applyProtection="1">
      <alignment horizontal="center" vertical="center" wrapText="1"/>
    </xf>
    <xf numFmtId="0" fontId="74" fillId="0" borderId="26" xfId="0" applyFont="1" applyBorder="1" applyAlignment="1" applyProtection="1">
      <alignment horizontal="center" vertical="center" wrapText="1"/>
    </xf>
    <xf numFmtId="0" fontId="74" fillId="0" borderId="38" xfId="0" applyFont="1" applyBorder="1" applyAlignment="1" applyProtection="1">
      <alignment horizontal="left" vertical="center" wrapText="1"/>
    </xf>
    <xf numFmtId="0" fontId="74" fillId="0" borderId="39" xfId="0" applyFont="1" applyBorder="1" applyAlignment="1" applyProtection="1">
      <alignment horizontal="left" vertical="center" wrapText="1"/>
    </xf>
    <xf numFmtId="0" fontId="74" fillId="0" borderId="40" xfId="0" applyFont="1" applyBorder="1" applyAlignment="1" applyProtection="1">
      <alignment horizontal="center" wrapText="1"/>
    </xf>
    <xf numFmtId="0" fontId="74" fillId="0" borderId="37" xfId="0" applyFont="1" applyBorder="1" applyAlignment="1" applyProtection="1">
      <alignment horizontal="center" wrapText="1"/>
    </xf>
    <xf numFmtId="0" fontId="75" fillId="0" borderId="21" xfId="0" applyFont="1" applyBorder="1" applyAlignment="1" applyProtection="1">
      <alignment horizontal="center" vertical="center" wrapText="1"/>
    </xf>
    <xf numFmtId="0" fontId="75" fillId="0" borderId="23" xfId="0" applyFont="1" applyBorder="1" applyAlignment="1" applyProtection="1">
      <alignment horizontal="center" vertical="center" wrapText="1"/>
    </xf>
    <xf numFmtId="0" fontId="75" fillId="0" borderId="26" xfId="0" applyFont="1" applyBorder="1" applyAlignment="1" applyProtection="1">
      <alignment horizontal="center" vertical="center" wrapText="1"/>
    </xf>
    <xf numFmtId="0" fontId="5" fillId="0" borderId="52" xfId="1" applyBorder="1" applyAlignment="1" applyProtection="1">
      <alignment horizontal="center"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8" fillId="2" borderId="1" xfId="0" applyFont="1" applyFill="1" applyBorder="1" applyAlignment="1">
      <alignment horizontal="center"/>
    </xf>
    <xf numFmtId="0" fontId="21" fillId="2" borderId="1" xfId="0" applyFont="1" applyFill="1" applyBorder="1" applyAlignment="1">
      <alignment horizontal="center" wrapText="1"/>
    </xf>
    <xf numFmtId="0" fontId="21" fillId="2" borderId="1" xfId="0" applyFont="1" applyFill="1" applyBorder="1" applyAlignment="1">
      <alignment horizontal="center"/>
    </xf>
    <xf numFmtId="0" fontId="0" fillId="0" borderId="0" xfId="0" applyBorder="1" applyAlignment="1">
      <alignment horizontal="left"/>
    </xf>
    <xf numFmtId="0" fontId="0" fillId="0" borderId="23" xfId="0" applyBorder="1" applyAlignment="1">
      <alignment horizontal="left"/>
    </xf>
    <xf numFmtId="184" fontId="49" fillId="2" borderId="1" xfId="0" applyNumberFormat="1" applyFont="1" applyFill="1" applyBorder="1" applyAlignment="1">
      <alignment horizontal="center" vertical="center"/>
    </xf>
    <xf numFmtId="0" fontId="58" fillId="4" borderId="1" xfId="0" applyFont="1" applyFill="1" applyBorder="1" applyAlignment="1">
      <alignment horizontal="left" vertical="center" wrapText="1"/>
    </xf>
    <xf numFmtId="184" fontId="49" fillId="0" borderId="1" xfId="0" applyNumberFormat="1" applyFont="1" applyBorder="1" applyAlignment="1">
      <alignment horizontal="center" vertical="center"/>
    </xf>
    <xf numFmtId="0" fontId="44" fillId="0" borderId="0" xfId="0" applyFont="1" applyAlignment="1">
      <alignment horizontal="center"/>
    </xf>
    <xf numFmtId="0" fontId="79" fillId="0" borderId="0" xfId="0" applyFont="1" applyAlignment="1">
      <alignment horizontal="center"/>
    </xf>
    <xf numFmtId="0" fontId="0" fillId="2" borderId="1" xfId="0" applyFill="1" applyBorder="1" applyAlignment="1">
      <alignment horizontal="center"/>
    </xf>
    <xf numFmtId="0" fontId="21" fillId="8" borderId="1" xfId="0" applyFont="1" applyFill="1" applyBorder="1" applyAlignment="1">
      <alignment horizontal="center" vertical="center" wrapText="1"/>
    </xf>
    <xf numFmtId="0" fontId="21" fillId="8" borderId="1" xfId="0" applyFont="1" applyFill="1" applyBorder="1" applyAlignment="1">
      <alignment vertical="center" wrapText="1"/>
    </xf>
    <xf numFmtId="0" fontId="75" fillId="4" borderId="5" xfId="0" applyFont="1" applyFill="1" applyBorder="1" applyAlignment="1">
      <alignment horizontal="center" vertical="center" wrapText="1"/>
    </xf>
    <xf numFmtId="0" fontId="75" fillId="4" borderId="16" xfId="0" applyFont="1" applyFill="1" applyBorder="1" applyAlignment="1">
      <alignment horizontal="center" vertical="center" wrapText="1"/>
    </xf>
    <xf numFmtId="0" fontId="75" fillId="4" borderId="6" xfId="0" applyFont="1" applyFill="1" applyBorder="1" applyAlignment="1">
      <alignment horizontal="center" vertical="center" wrapText="1"/>
    </xf>
    <xf numFmtId="0" fontId="75" fillId="5" borderId="5" xfId="0" applyFont="1" applyFill="1" applyBorder="1" applyAlignment="1">
      <alignment horizontal="center" vertical="center"/>
    </xf>
    <xf numFmtId="0" fontId="75" fillId="5" borderId="16" xfId="0" applyFont="1" applyFill="1" applyBorder="1" applyAlignment="1">
      <alignment horizontal="center" vertical="center"/>
    </xf>
    <xf numFmtId="0" fontId="75" fillId="5" borderId="6"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1" xfId="0" applyFont="1" applyFill="1" applyBorder="1" applyAlignment="1">
      <alignment horizontal="center"/>
    </xf>
    <xf numFmtId="0" fontId="0" fillId="4" borderId="1" xfId="0" applyFill="1" applyBorder="1" applyAlignment="1">
      <alignment horizontal="center"/>
    </xf>
    <xf numFmtId="0" fontId="58" fillId="4" borderId="5" xfId="0" applyFont="1" applyFill="1" applyBorder="1" applyAlignment="1">
      <alignment horizontal="left" vertical="center" wrapText="1"/>
    </xf>
    <xf numFmtId="0" fontId="58" fillId="4" borderId="16" xfId="0" applyFont="1" applyFill="1" applyBorder="1" applyAlignment="1">
      <alignment horizontal="left" vertical="center" wrapText="1"/>
    </xf>
    <xf numFmtId="0" fontId="58" fillId="4" borderId="6" xfId="0" applyFont="1" applyFill="1" applyBorder="1" applyAlignment="1">
      <alignment horizontal="left" vertical="center" wrapText="1"/>
    </xf>
    <xf numFmtId="0" fontId="58" fillId="0" borderId="20"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25" xfId="0" applyFont="1" applyBorder="1" applyAlignment="1" applyProtection="1">
      <alignment horizontal="left" vertical="top" wrapText="1"/>
      <protection locked="0"/>
    </xf>
    <xf numFmtId="0" fontId="21" fillId="8" borderId="1" xfId="0" applyFont="1" applyFill="1" applyBorder="1" applyAlignment="1">
      <alignment vertical="top" wrapText="1"/>
    </xf>
    <xf numFmtId="0" fontId="21" fillId="8" borderId="1" xfId="0" applyFont="1" applyFill="1" applyBorder="1" applyAlignment="1">
      <alignment horizontal="left" vertical="center" wrapText="1"/>
    </xf>
    <xf numFmtId="0" fontId="85" fillId="4" borderId="1" xfId="0" applyFont="1" applyFill="1" applyBorder="1" applyAlignment="1">
      <alignment horizontal="left" vertical="center"/>
    </xf>
    <xf numFmtId="0" fontId="21" fillId="8" borderId="1" xfId="0" applyFont="1" applyFill="1" applyBorder="1" applyAlignment="1">
      <alignment horizontal="left" wrapText="1"/>
    </xf>
    <xf numFmtId="0" fontId="0" fillId="8" borderId="1" xfId="0" applyFill="1" applyBorder="1" applyAlignment="1">
      <alignment horizontal="left" wrapText="1"/>
    </xf>
    <xf numFmtId="0" fontId="0" fillId="0" borderId="1" xfId="0" applyBorder="1" applyAlignment="1">
      <alignment horizontal="center"/>
    </xf>
    <xf numFmtId="0" fontId="58" fillId="4" borderId="1" xfId="0" applyFont="1" applyFill="1" applyBorder="1" applyAlignment="1">
      <alignment horizontal="center" vertical="center"/>
    </xf>
    <xf numFmtId="0" fontId="7" fillId="0" borderId="19" xfId="0" applyFont="1" applyBorder="1" applyAlignment="1" applyProtection="1">
      <alignment horizontal="left" wrapText="1"/>
      <protection locked="0"/>
    </xf>
    <xf numFmtId="0" fontId="7" fillId="0" borderId="20" xfId="0" applyFont="1" applyBorder="1" applyAlignment="1" applyProtection="1">
      <alignment horizontal="left" wrapText="1"/>
      <protection locked="0"/>
    </xf>
    <xf numFmtId="0" fontId="7" fillId="0" borderId="21" xfId="0" applyFont="1" applyBorder="1" applyAlignment="1" applyProtection="1">
      <alignment horizontal="left" wrapText="1"/>
      <protection locked="0"/>
    </xf>
    <xf numFmtId="0" fontId="7" fillId="0" borderId="22" xfId="0" applyFont="1" applyBorder="1" applyAlignment="1" applyProtection="1">
      <alignment horizontal="left" wrapText="1"/>
      <protection locked="0"/>
    </xf>
    <xf numFmtId="0" fontId="7" fillId="0" borderId="0" xfId="0" applyFont="1" applyBorder="1" applyAlignment="1" applyProtection="1">
      <alignment horizontal="left" wrapText="1"/>
      <protection locked="0"/>
    </xf>
    <xf numFmtId="0" fontId="7" fillId="0" borderId="23" xfId="0" applyFont="1" applyBorder="1" applyAlignment="1" applyProtection="1">
      <alignment horizontal="left" wrapText="1"/>
      <protection locked="0"/>
    </xf>
    <xf numFmtId="0" fontId="7" fillId="0" borderId="24" xfId="0" applyFont="1" applyBorder="1" applyAlignment="1" applyProtection="1">
      <alignment horizontal="left" wrapText="1"/>
      <protection locked="0"/>
    </xf>
    <xf numFmtId="0" fontId="7" fillId="0" borderId="25" xfId="0" applyFont="1" applyBorder="1" applyAlignment="1" applyProtection="1">
      <alignment horizontal="left" wrapText="1"/>
      <protection locked="0"/>
    </xf>
    <xf numFmtId="0" fontId="7" fillId="0" borderId="26" xfId="0" applyFont="1" applyBorder="1" applyAlignment="1" applyProtection="1">
      <alignment horizontal="left" wrapText="1"/>
      <protection locked="0"/>
    </xf>
    <xf numFmtId="0" fontId="84" fillId="4" borderId="1" xfId="0" applyFont="1" applyFill="1" applyBorder="1" applyAlignment="1">
      <alignment horizontal="left" vertical="center"/>
    </xf>
    <xf numFmtId="0" fontId="101" fillId="8" borderId="1" xfId="0" applyFont="1" applyFill="1" applyBorder="1" applyAlignment="1">
      <alignment horizontal="center"/>
    </xf>
    <xf numFmtId="0" fontId="74" fillId="2" borderId="1" xfId="0" applyFont="1" applyFill="1" applyBorder="1" applyAlignment="1">
      <alignment horizontal="center"/>
    </xf>
    <xf numFmtId="0" fontId="0" fillId="0" borderId="1" xfId="0" applyBorder="1"/>
    <xf numFmtId="0" fontId="75" fillId="5" borderId="5" xfId="0" applyFont="1" applyFill="1" applyBorder="1" applyAlignment="1">
      <alignment horizontal="center" vertical="center" wrapText="1"/>
    </xf>
    <xf numFmtId="0" fontId="75" fillId="5" borderId="16" xfId="0" applyFont="1" applyFill="1" applyBorder="1" applyAlignment="1">
      <alignment horizontal="center" vertical="center" wrapText="1"/>
    </xf>
    <xf numFmtId="0" fontId="75" fillId="5" borderId="6" xfId="0" applyFont="1" applyFill="1" applyBorder="1" applyAlignment="1">
      <alignment horizontal="center" vertical="center" wrapText="1"/>
    </xf>
    <xf numFmtId="0" fontId="101" fillId="8" borderId="1" xfId="0" applyFont="1" applyFill="1" applyBorder="1" applyAlignment="1">
      <alignment horizontal="center" wrapText="1"/>
    </xf>
    <xf numFmtId="0" fontId="58" fillId="4" borderId="30" xfId="0" applyFont="1" applyFill="1" applyBorder="1" applyAlignment="1" applyProtection="1">
      <alignment horizontal="center"/>
    </xf>
    <xf numFmtId="0" fontId="58" fillId="4" borderId="27" xfId="0" applyFont="1" applyFill="1" applyBorder="1" applyAlignment="1" applyProtection="1">
      <alignment horizontal="center"/>
    </xf>
    <xf numFmtId="0" fontId="58" fillId="4" borderId="17" xfId="0" applyFont="1" applyFill="1" applyBorder="1" applyAlignment="1" applyProtection="1">
      <alignment horizontal="center"/>
    </xf>
    <xf numFmtId="0" fontId="58" fillId="4" borderId="28" xfId="0" applyFont="1" applyFill="1" applyBorder="1" applyAlignment="1" applyProtection="1">
      <alignment horizontal="center"/>
    </xf>
    <xf numFmtId="0" fontId="58" fillId="4" borderId="2" xfId="0" applyFont="1" applyFill="1" applyBorder="1" applyAlignment="1" applyProtection="1">
      <alignment horizontal="center"/>
    </xf>
    <xf numFmtId="0" fontId="58" fillId="4" borderId="18" xfId="0" applyFont="1" applyFill="1" applyBorder="1" applyAlignment="1" applyProtection="1">
      <alignment horizontal="center"/>
    </xf>
    <xf numFmtId="0" fontId="21" fillId="4" borderId="5" xfId="0" applyFont="1" applyFill="1" applyBorder="1" applyAlignment="1" applyProtection="1">
      <alignment horizontal="center" vertical="center" wrapText="1"/>
    </xf>
    <xf numFmtId="0" fontId="21" fillId="4" borderId="16" xfId="0" applyFont="1" applyFill="1" applyBorder="1" applyAlignment="1" applyProtection="1">
      <alignment horizontal="center" vertical="center" wrapText="1"/>
    </xf>
    <xf numFmtId="0" fontId="21" fillId="4" borderId="6" xfId="0" applyFont="1" applyFill="1" applyBorder="1" applyAlignment="1" applyProtection="1">
      <alignment horizontal="center" vertical="center" wrapText="1"/>
    </xf>
    <xf numFmtId="184" fontId="109" fillId="0" borderId="3" xfId="0" applyNumberFormat="1" applyFont="1" applyBorder="1" applyAlignment="1">
      <alignment horizontal="center" vertical="center"/>
    </xf>
    <xf numFmtId="184" fontId="109" fillId="0" borderId="4" xfId="0" applyNumberFormat="1" applyFont="1" applyBorder="1" applyAlignment="1">
      <alignment horizontal="center" vertical="center"/>
    </xf>
    <xf numFmtId="0" fontId="21" fillId="0" borderId="1" xfId="0" applyFont="1" applyBorder="1" applyAlignment="1">
      <alignment horizontal="center" wrapText="1"/>
    </xf>
    <xf numFmtId="0" fontId="21" fillId="0" borderId="1" xfId="0" applyFont="1" applyBorder="1" applyAlignment="1">
      <alignment horizontal="center"/>
    </xf>
    <xf numFmtId="0" fontId="0" fillId="0" borderId="0" xfId="0" applyAlignment="1">
      <alignment horizontal="left" vertical="top" wrapText="1"/>
    </xf>
    <xf numFmtId="0" fontId="21" fillId="0" borderId="0" xfId="0" applyFont="1" applyAlignment="1">
      <alignment horizontal="left" vertical="top" wrapText="1"/>
    </xf>
    <xf numFmtId="0" fontId="56" fillId="4" borderId="3" xfId="0" applyFont="1" applyFill="1" applyBorder="1" applyAlignment="1">
      <alignment horizontal="center"/>
    </xf>
    <xf numFmtId="0" fontId="56" fillId="4" borderId="4" xfId="0" applyFont="1" applyFill="1" applyBorder="1" applyAlignment="1">
      <alignment horizontal="center"/>
    </xf>
    <xf numFmtId="0" fontId="58" fillId="0" borderId="19" xfId="0" applyFont="1" applyBorder="1" applyAlignment="1" applyProtection="1">
      <alignment horizontal="left" vertical="top" wrapText="1"/>
      <protection locked="0"/>
    </xf>
    <xf numFmtId="0" fontId="58" fillId="0" borderId="21" xfId="0" applyFont="1" applyBorder="1" applyAlignment="1" applyProtection="1">
      <alignment horizontal="left" vertical="top" wrapText="1"/>
      <protection locked="0"/>
    </xf>
    <xf numFmtId="0" fontId="58" fillId="0" borderId="22" xfId="0" applyFont="1" applyBorder="1" applyAlignment="1" applyProtection="1">
      <alignment horizontal="left" vertical="top" wrapText="1"/>
      <protection locked="0"/>
    </xf>
    <xf numFmtId="0" fontId="58" fillId="0" borderId="23" xfId="0" applyFont="1" applyBorder="1" applyAlignment="1" applyProtection="1">
      <alignment horizontal="left" vertical="top" wrapText="1"/>
      <protection locked="0"/>
    </xf>
    <xf numFmtId="0" fontId="58" fillId="0" borderId="24" xfId="0" applyFont="1" applyBorder="1" applyAlignment="1" applyProtection="1">
      <alignment horizontal="left" vertical="top" wrapText="1"/>
      <protection locked="0"/>
    </xf>
    <xf numFmtId="0" fontId="58" fillId="0" borderId="26" xfId="0" applyFont="1" applyBorder="1" applyAlignment="1" applyProtection="1">
      <alignment horizontal="left" vertical="top" wrapText="1"/>
      <protection locked="0"/>
    </xf>
    <xf numFmtId="0" fontId="58" fillId="4" borderId="5" xfId="0" applyFont="1" applyFill="1" applyBorder="1" applyAlignment="1">
      <alignment horizontal="center" vertical="center"/>
    </xf>
    <xf numFmtId="0" fontId="58" fillId="4" borderId="16" xfId="0" applyFont="1" applyFill="1" applyBorder="1" applyAlignment="1">
      <alignment horizontal="center" vertical="center"/>
    </xf>
    <xf numFmtId="0" fontId="58" fillId="4" borderId="6" xfId="0" applyFont="1" applyFill="1" applyBorder="1" applyAlignment="1">
      <alignment horizontal="center" vertical="center"/>
    </xf>
    <xf numFmtId="0" fontId="105" fillId="4" borderId="5" xfId="0" applyFont="1" applyFill="1" applyBorder="1" applyAlignment="1">
      <alignment horizontal="center" wrapText="1"/>
    </xf>
    <xf numFmtId="0" fontId="105" fillId="4" borderId="6" xfId="0" applyFont="1" applyFill="1" applyBorder="1" applyAlignment="1">
      <alignment horizontal="center"/>
    </xf>
    <xf numFmtId="0" fontId="21" fillId="0" borderId="1" xfId="0" applyFont="1" applyBorder="1" applyAlignment="1">
      <alignment horizontal="left" vertical="center" wrapText="1"/>
    </xf>
    <xf numFmtId="0" fontId="48" fillId="0" borderId="1" xfId="0" applyFont="1" applyBorder="1" applyAlignment="1">
      <alignment horizontal="center"/>
    </xf>
    <xf numFmtId="0" fontId="56" fillId="4" borderId="15" xfId="0" applyFont="1" applyFill="1" applyBorder="1" applyAlignment="1" applyProtection="1">
      <alignment horizontal="center"/>
    </xf>
    <xf numFmtId="0" fontId="56" fillId="4" borderId="4" xfId="0" applyFont="1" applyFill="1" applyBorder="1" applyAlignment="1" applyProtection="1">
      <alignment horizontal="center"/>
    </xf>
    <xf numFmtId="0" fontId="58" fillId="0" borderId="1" xfId="0" applyFont="1" applyBorder="1" applyAlignment="1" applyProtection="1">
      <alignment horizontal="center"/>
    </xf>
    <xf numFmtId="0" fontId="85" fillId="4" borderId="5" xfId="0" applyFont="1" applyFill="1" applyBorder="1" applyAlignment="1" applyProtection="1">
      <alignment horizontal="center" vertical="center"/>
    </xf>
    <xf numFmtId="0" fontId="85" fillId="4" borderId="16" xfId="0" applyFont="1" applyFill="1" applyBorder="1" applyAlignment="1" applyProtection="1">
      <alignment horizontal="center" vertical="center"/>
    </xf>
    <xf numFmtId="0" fontId="85" fillId="4" borderId="6" xfId="0" applyFont="1" applyFill="1" applyBorder="1" applyAlignment="1" applyProtection="1">
      <alignment horizontal="center" vertical="center"/>
    </xf>
    <xf numFmtId="0" fontId="58" fillId="4" borderId="16" xfId="0" applyFont="1" applyFill="1" applyBorder="1" applyAlignment="1" applyProtection="1">
      <alignment horizontal="left" vertical="center"/>
    </xf>
    <xf numFmtId="0" fontId="58" fillId="4" borderId="6" xfId="0" applyFont="1" applyFill="1" applyBorder="1" applyAlignment="1" applyProtection="1">
      <alignment horizontal="left" vertical="center"/>
    </xf>
    <xf numFmtId="0" fontId="58" fillId="4" borderId="5" xfId="0" applyFont="1" applyFill="1" applyBorder="1" applyAlignment="1" applyProtection="1">
      <alignment horizontal="center" vertical="center" wrapText="1"/>
    </xf>
    <xf numFmtId="0" fontId="58" fillId="4" borderId="16" xfId="0" applyFont="1" applyFill="1" applyBorder="1" applyAlignment="1" applyProtection="1">
      <alignment horizontal="center" vertical="center" wrapText="1"/>
    </xf>
    <xf numFmtId="0" fontId="58" fillId="4" borderId="6" xfId="0" applyFont="1" applyFill="1" applyBorder="1" applyAlignment="1" applyProtection="1">
      <alignment horizontal="center" vertical="center" wrapText="1"/>
    </xf>
    <xf numFmtId="0" fontId="21" fillId="0" borderId="3" xfId="0" applyFont="1" applyFill="1" applyBorder="1" applyAlignment="1" applyProtection="1">
      <alignment horizontal="left" vertical="center"/>
    </xf>
    <xf numFmtId="0" fontId="21" fillId="0" borderId="4" xfId="0" applyFont="1" applyBorder="1" applyAlignment="1" applyProtection="1">
      <alignment horizontal="center"/>
    </xf>
    <xf numFmtId="0" fontId="58" fillId="0" borderId="1" xfId="0" applyFont="1" applyFill="1" applyBorder="1" applyAlignment="1" applyProtection="1">
      <alignment horizontal="center"/>
    </xf>
    <xf numFmtId="0" fontId="58" fillId="0" borderId="27" xfId="0" applyFont="1" applyBorder="1" applyAlignment="1" applyProtection="1">
      <alignment horizontal="left" vertical="top" wrapText="1"/>
    </xf>
    <xf numFmtId="0" fontId="60" fillId="0" borderId="1" xfId="0" applyFont="1" applyBorder="1" applyAlignment="1" applyProtection="1">
      <alignment horizontal="left" vertical="justify" wrapText="1"/>
    </xf>
    <xf numFmtId="0" fontId="58" fillId="4" borderId="5" xfId="0" applyFont="1" applyFill="1" applyBorder="1" applyAlignment="1" applyProtection="1">
      <alignment horizontal="left" vertical="center"/>
    </xf>
    <xf numFmtId="0" fontId="58" fillId="0" borderId="1" xfId="0" applyFont="1" applyBorder="1" applyAlignment="1" applyProtection="1">
      <alignment horizontal="left" vertical="top" wrapText="1"/>
    </xf>
    <xf numFmtId="0" fontId="56" fillId="0" borderId="15" xfId="0" applyFont="1" applyBorder="1" applyAlignment="1" applyProtection="1">
      <alignment horizontal="left"/>
    </xf>
    <xf numFmtId="0" fontId="56" fillId="0" borderId="4" xfId="0" applyFont="1" applyBorder="1" applyAlignment="1" applyProtection="1">
      <alignment horizontal="left"/>
    </xf>
    <xf numFmtId="179" fontId="56" fillId="4" borderId="3" xfId="0" applyNumberFormat="1" applyFont="1" applyFill="1" applyBorder="1" applyAlignment="1" applyProtection="1">
      <alignment horizontal="center"/>
    </xf>
    <xf numFmtId="179" fontId="56" fillId="4" borderId="4" xfId="0" applyNumberFormat="1" applyFont="1" applyFill="1" applyBorder="1" applyAlignment="1" applyProtection="1">
      <alignment horizontal="center"/>
    </xf>
    <xf numFmtId="0" fontId="60" fillId="0" borderId="30" xfId="0" applyFont="1" applyBorder="1" applyAlignment="1" applyProtection="1">
      <alignment horizontal="left" vertical="justify" wrapText="1"/>
    </xf>
    <xf numFmtId="0" fontId="60" fillId="0" borderId="27" xfId="0" applyFont="1" applyBorder="1" applyAlignment="1" applyProtection="1">
      <alignment horizontal="left" vertical="justify" wrapText="1"/>
    </xf>
    <xf numFmtId="0" fontId="60" fillId="0" borderId="17" xfId="0" applyFont="1" applyBorder="1" applyAlignment="1" applyProtection="1">
      <alignment horizontal="left" vertical="justify" wrapText="1"/>
    </xf>
    <xf numFmtId="0" fontId="60" fillId="0" borderId="29" xfId="0" applyFont="1" applyBorder="1" applyAlignment="1" applyProtection="1">
      <alignment horizontal="left" vertical="justify" wrapText="1"/>
    </xf>
    <xf numFmtId="0" fontId="60" fillId="0" borderId="0" xfId="0" applyFont="1" applyBorder="1" applyAlignment="1" applyProtection="1">
      <alignment horizontal="left" vertical="justify" wrapText="1"/>
    </xf>
    <xf numFmtId="0" fontId="60" fillId="0" borderId="58" xfId="0" applyFont="1" applyBorder="1" applyAlignment="1" applyProtection="1">
      <alignment horizontal="left" vertical="justify" wrapText="1"/>
    </xf>
    <xf numFmtId="0" fontId="60" fillId="0" borderId="28" xfId="0" applyFont="1" applyBorder="1" applyAlignment="1" applyProtection="1">
      <alignment horizontal="left" vertical="justify" wrapText="1"/>
    </xf>
    <xf numFmtId="0" fontId="60" fillId="0" borderId="2" xfId="0" applyFont="1" applyBorder="1" applyAlignment="1" applyProtection="1">
      <alignment horizontal="left" vertical="justify" wrapText="1"/>
    </xf>
    <xf numFmtId="0" fontId="60" fillId="0" borderId="18" xfId="0" applyFont="1" applyBorder="1" applyAlignment="1" applyProtection="1">
      <alignment horizontal="left" vertical="justify" wrapText="1"/>
    </xf>
    <xf numFmtId="0" fontId="58" fillId="11" borderId="1" xfId="0" applyFont="1" applyFill="1" applyBorder="1" applyAlignment="1" applyProtection="1">
      <alignment horizontal="center" vertical="center" wrapText="1"/>
    </xf>
    <xf numFmtId="0" fontId="60" fillId="0" borderId="1" xfId="0" applyFont="1" applyBorder="1" applyAlignment="1" applyProtection="1">
      <alignment horizontal="left" vertical="center"/>
    </xf>
    <xf numFmtId="0" fontId="60" fillId="0" borderId="3" xfId="0" applyFont="1" applyBorder="1" applyAlignment="1" applyProtection="1">
      <alignment horizontal="left" vertical="center"/>
    </xf>
    <xf numFmtId="0" fontId="21" fillId="11" borderId="3" xfId="0" applyFont="1" applyFill="1" applyBorder="1" applyAlignment="1" applyProtection="1">
      <alignment horizontal="center"/>
    </xf>
    <xf numFmtId="0" fontId="21" fillId="11" borderId="15" xfId="0" applyFont="1" applyFill="1" applyBorder="1" applyAlignment="1" applyProtection="1">
      <alignment horizontal="center"/>
    </xf>
    <xf numFmtId="0" fontId="21" fillId="11" borderId="4" xfId="0" applyFont="1" applyFill="1" applyBorder="1" applyAlignment="1" applyProtection="1">
      <alignment horizontal="center"/>
    </xf>
    <xf numFmtId="0" fontId="21" fillId="11" borderId="5" xfId="0" applyFont="1" applyFill="1" applyBorder="1" applyAlignment="1" applyProtection="1">
      <alignment horizontal="center" vertical="center"/>
    </xf>
    <xf numFmtId="0" fontId="21" fillId="11" borderId="16" xfId="0" applyFont="1" applyFill="1" applyBorder="1" applyAlignment="1" applyProtection="1">
      <alignment horizontal="center" vertical="center"/>
    </xf>
    <xf numFmtId="0" fontId="21" fillId="11" borderId="6" xfId="0" applyFont="1" applyFill="1" applyBorder="1" applyAlignment="1" applyProtection="1">
      <alignment horizontal="center" vertical="center"/>
    </xf>
    <xf numFmtId="0" fontId="58" fillId="11" borderId="5" xfId="0" applyFont="1" applyFill="1" applyBorder="1" applyAlignment="1" applyProtection="1">
      <alignment horizontal="center" vertical="center" wrapText="1"/>
    </xf>
    <xf numFmtId="0" fontId="58" fillId="11" borderId="16" xfId="0" applyFont="1" applyFill="1" applyBorder="1" applyAlignment="1" applyProtection="1">
      <alignment horizontal="center" vertical="center" wrapText="1"/>
    </xf>
    <xf numFmtId="0" fontId="58" fillId="11" borderId="6" xfId="0" applyFont="1" applyFill="1" applyBorder="1" applyAlignment="1" applyProtection="1">
      <alignment horizontal="center" vertical="center" wrapText="1"/>
    </xf>
    <xf numFmtId="0" fontId="21" fillId="11" borderId="1" xfId="0" applyFont="1" applyFill="1" applyBorder="1" applyAlignment="1" applyProtection="1">
      <alignment horizontal="center" vertical="center"/>
    </xf>
    <xf numFmtId="0" fontId="58" fillId="4" borderId="17" xfId="0" applyFont="1" applyFill="1" applyBorder="1" applyAlignment="1" applyProtection="1">
      <alignment horizontal="center" vertical="center" wrapText="1"/>
    </xf>
    <xf numFmtId="0" fontId="58" fillId="4" borderId="58" xfId="0" applyFont="1" applyFill="1" applyBorder="1" applyAlignment="1" applyProtection="1">
      <alignment horizontal="center" vertical="center" wrapText="1"/>
    </xf>
    <xf numFmtId="0" fontId="58" fillId="4" borderId="18" xfId="0" applyFont="1" applyFill="1" applyBorder="1" applyAlignment="1" applyProtection="1">
      <alignment horizontal="center" vertical="center" wrapText="1"/>
    </xf>
    <xf numFmtId="179" fontId="56" fillId="4" borderId="3" xfId="0" applyNumberFormat="1" applyFont="1" applyFill="1" applyBorder="1" applyAlignment="1" applyProtection="1">
      <alignment horizontal="center" vertical="center"/>
    </xf>
    <xf numFmtId="179" fontId="56" fillId="4" borderId="4" xfId="0" applyNumberFormat="1" applyFont="1" applyFill="1" applyBorder="1" applyAlignment="1" applyProtection="1">
      <alignment horizontal="center" vertical="center"/>
    </xf>
    <xf numFmtId="0" fontId="58" fillId="4" borderId="1" xfId="0" applyFont="1" applyFill="1" applyBorder="1" applyAlignment="1" applyProtection="1">
      <alignment horizontal="left" vertical="center"/>
    </xf>
    <xf numFmtId="0" fontId="116" fillId="12" borderId="1" xfId="0" applyFont="1" applyFill="1" applyBorder="1" applyAlignment="1" applyProtection="1">
      <alignment horizontal="center"/>
    </xf>
    <xf numFmtId="0" fontId="116" fillId="12" borderId="3" xfId="0" applyFont="1" applyFill="1" applyBorder="1" applyAlignment="1" applyProtection="1">
      <alignment horizontal="center"/>
    </xf>
    <xf numFmtId="0" fontId="60" fillId="4" borderId="1" xfId="0" applyFont="1" applyFill="1" applyBorder="1" applyAlignment="1" applyProtection="1">
      <alignment horizontal="left" vertical="center"/>
    </xf>
    <xf numFmtId="0" fontId="56" fillId="4" borderId="1" xfId="0" applyFont="1" applyFill="1" applyBorder="1" applyAlignment="1" applyProtection="1">
      <alignment horizontal="center" vertical="center"/>
    </xf>
    <xf numFmtId="0" fontId="83" fillId="4" borderId="5" xfId="0" applyFont="1" applyFill="1" applyBorder="1" applyAlignment="1" applyProtection="1">
      <alignment horizontal="left" vertical="center" wrapText="1"/>
    </xf>
    <xf numFmtId="0" fontId="117" fillId="12" borderId="5" xfId="0" applyFont="1" applyFill="1" applyBorder="1" applyAlignment="1" applyProtection="1">
      <alignment horizontal="center" vertical="center" wrapText="1"/>
    </xf>
    <xf numFmtId="0" fontId="117" fillId="12" borderId="6" xfId="0" applyFont="1" applyFill="1" applyBorder="1" applyAlignment="1" applyProtection="1">
      <alignment horizontal="center" vertical="center" wrapText="1"/>
    </xf>
    <xf numFmtId="0" fontId="116" fillId="12" borderId="15" xfId="0" applyFont="1" applyFill="1" applyBorder="1" applyAlignment="1" applyProtection="1">
      <alignment horizontal="center"/>
    </xf>
    <xf numFmtId="0" fontId="116" fillId="12" borderId="4" xfId="0" applyFont="1" applyFill="1" applyBorder="1" applyAlignment="1" applyProtection="1">
      <alignment horizontal="center"/>
    </xf>
    <xf numFmtId="0" fontId="117" fillId="12" borderId="1" xfId="0" applyFont="1" applyFill="1" applyBorder="1" applyAlignment="1" applyProtection="1">
      <alignment horizontal="center" vertical="center" wrapText="1"/>
    </xf>
    <xf numFmtId="0" fontId="118" fillId="12" borderId="16" xfId="0" applyFont="1" applyFill="1" applyBorder="1" applyProtection="1"/>
    <xf numFmtId="0" fontId="118" fillId="12" borderId="6" xfId="0" applyFont="1" applyFill="1" applyBorder="1" applyProtection="1"/>
    <xf numFmtId="0" fontId="60" fillId="0" borderId="0" xfId="0" applyFont="1" applyBorder="1" applyAlignment="1" applyProtection="1">
      <alignment horizontal="left" vertical="top" wrapText="1"/>
    </xf>
    <xf numFmtId="0" fontId="60" fillId="0" borderId="2" xfId="0" applyFont="1" applyBorder="1" applyAlignment="1" applyProtection="1">
      <alignment horizontal="left" vertical="top" wrapText="1"/>
    </xf>
    <xf numFmtId="0" fontId="127" fillId="0" borderId="1" xfId="0" applyFont="1" applyBorder="1" applyAlignment="1" applyProtection="1">
      <alignment horizontal="center" wrapText="1"/>
    </xf>
    <xf numFmtId="0" fontId="127" fillId="0" borderId="1" xfId="0" applyFont="1" applyBorder="1" applyAlignment="1" applyProtection="1">
      <alignment horizontal="center" vertical="center" wrapText="1"/>
    </xf>
    <xf numFmtId="0" fontId="56" fillId="4" borderId="3" xfId="0" applyFont="1" applyFill="1" applyBorder="1" applyAlignment="1" applyProtection="1">
      <alignment horizontal="center" vertical="center"/>
    </xf>
    <xf numFmtId="0" fontId="56" fillId="4" borderId="15" xfId="0" applyFont="1" applyFill="1" applyBorder="1" applyAlignment="1" applyProtection="1">
      <alignment horizontal="center" vertical="center"/>
    </xf>
    <xf numFmtId="0" fontId="56" fillId="4" borderId="4" xfId="0" applyFont="1" applyFill="1" applyBorder="1" applyAlignment="1" applyProtection="1">
      <alignment horizontal="center" vertical="center"/>
    </xf>
    <xf numFmtId="0" fontId="58" fillId="0" borderId="27" xfId="0" applyFont="1" applyBorder="1" applyAlignment="1" applyProtection="1">
      <alignment horizontal="left" vertical="distributed" wrapText="1"/>
    </xf>
    <xf numFmtId="0" fontId="58" fillId="0" borderId="0" xfId="0" applyFont="1" applyBorder="1" applyAlignment="1" applyProtection="1">
      <alignment horizontal="left" vertical="distributed" wrapText="1"/>
    </xf>
    <xf numFmtId="0" fontId="58" fillId="0" borderId="2" xfId="0" applyFont="1" applyBorder="1" applyAlignment="1" applyProtection="1">
      <alignment horizontal="left" vertical="distributed" wrapText="1"/>
    </xf>
    <xf numFmtId="0" fontId="60" fillId="0" borderId="30" xfId="0" applyFont="1" applyBorder="1" applyAlignment="1" applyProtection="1">
      <alignment horizontal="left" vertical="top" wrapText="1"/>
    </xf>
    <xf numFmtId="0" fontId="60" fillId="0" borderId="27" xfId="0" applyFont="1" applyBorder="1" applyAlignment="1" applyProtection="1">
      <alignment horizontal="left" vertical="top" wrapText="1"/>
    </xf>
    <xf numFmtId="0" fontId="60" fillId="0" borderId="17" xfId="0" applyFont="1" applyBorder="1" applyAlignment="1" applyProtection="1">
      <alignment horizontal="left" vertical="top" wrapText="1"/>
    </xf>
    <xf numFmtId="0" fontId="60" fillId="0" borderId="29" xfId="0" applyFont="1" applyBorder="1" applyAlignment="1" applyProtection="1">
      <alignment horizontal="left" vertical="top" wrapText="1"/>
    </xf>
    <xf numFmtId="0" fontId="60" fillId="0" borderId="58" xfId="0" applyFont="1" applyBorder="1" applyAlignment="1" applyProtection="1">
      <alignment horizontal="left" vertical="top" wrapText="1"/>
    </xf>
    <xf numFmtId="0" fontId="60" fillId="0" borderId="28" xfId="0" applyFont="1" applyBorder="1" applyAlignment="1" applyProtection="1">
      <alignment horizontal="left" vertical="top" wrapText="1"/>
    </xf>
    <xf numFmtId="0" fontId="60" fillId="0" borderId="18" xfId="0" applyFont="1" applyBorder="1" applyAlignment="1" applyProtection="1">
      <alignment horizontal="left" vertical="top" wrapText="1"/>
    </xf>
    <xf numFmtId="0" fontId="44" fillId="0" borderId="0" xfId="0" applyFont="1" applyAlignment="1" applyProtection="1">
      <alignment horizontal="right"/>
    </xf>
    <xf numFmtId="0" fontId="79" fillId="0" borderId="0" xfId="0" applyFont="1" applyAlignment="1" applyProtection="1">
      <alignment horizontal="right"/>
    </xf>
    <xf numFmtId="0" fontId="58" fillId="4" borderId="1" xfId="0" applyFont="1" applyFill="1" applyBorder="1" applyAlignment="1" applyProtection="1">
      <alignment vertical="center" wrapText="1"/>
    </xf>
    <xf numFmtId="0" fontId="58" fillId="4" borderId="1" xfId="0" applyFont="1" applyFill="1" applyBorder="1" applyAlignment="1" applyProtection="1">
      <alignment horizontal="left" wrapText="1"/>
    </xf>
    <xf numFmtId="0" fontId="58" fillId="0" borderId="30" xfId="0" applyFont="1" applyBorder="1" applyAlignment="1" applyProtection="1">
      <alignment horizontal="left" vertical="distributed" wrapText="1"/>
    </xf>
    <xf numFmtId="0" fontId="58" fillId="0" borderId="17" xfId="0" applyFont="1" applyBorder="1" applyAlignment="1" applyProtection="1">
      <alignment horizontal="left" vertical="distributed" wrapText="1"/>
    </xf>
    <xf numFmtId="0" fontId="58" fillId="0" borderId="29" xfId="0" applyFont="1" applyBorder="1" applyAlignment="1" applyProtection="1">
      <alignment horizontal="left" vertical="distributed" wrapText="1"/>
    </xf>
    <xf numFmtId="0" fontId="58" fillId="0" borderId="58" xfId="0" applyFont="1" applyBorder="1" applyAlignment="1" applyProtection="1">
      <alignment horizontal="left" vertical="distributed" wrapText="1"/>
    </xf>
    <xf numFmtId="0" fontId="58" fillId="0" borderId="28" xfId="0" applyFont="1" applyBorder="1" applyAlignment="1" applyProtection="1">
      <alignment horizontal="left" vertical="distributed" wrapText="1"/>
    </xf>
    <xf numFmtId="0" fontId="58" fillId="0" borderId="18" xfId="0" applyFont="1" applyBorder="1" applyAlignment="1" applyProtection="1">
      <alignment horizontal="left" vertical="distributed" wrapText="1"/>
    </xf>
    <xf numFmtId="0" fontId="164" fillId="0" borderId="1" xfId="0" applyFont="1" applyBorder="1" applyAlignment="1" applyProtection="1">
      <alignment horizontal="center"/>
    </xf>
    <xf numFmtId="0" fontId="21" fillId="4" borderId="3" xfId="0" applyFont="1" applyFill="1" applyBorder="1" applyAlignment="1" applyProtection="1">
      <alignment horizontal="center"/>
    </xf>
    <xf numFmtId="0" fontId="21" fillId="4" borderId="15" xfId="0" applyFont="1" applyFill="1" applyBorder="1" applyAlignment="1" applyProtection="1">
      <alignment horizontal="center"/>
    </xf>
    <xf numFmtId="0" fontId="21" fillId="4" borderId="4" xfId="0" applyFont="1" applyFill="1" applyBorder="1" applyAlignment="1" applyProtection="1">
      <alignment horizontal="center"/>
    </xf>
    <xf numFmtId="0" fontId="21" fillId="4" borderId="1" xfId="0" applyFont="1" applyFill="1" applyBorder="1" applyAlignment="1" applyProtection="1">
      <alignment horizontal="center"/>
    </xf>
    <xf numFmtId="0" fontId="21" fillId="0" borderId="3" xfId="0" applyFont="1" applyBorder="1" applyAlignment="1" applyProtection="1">
      <alignment horizontal="left"/>
    </xf>
    <xf numFmtId="0" fontId="21" fillId="0" borderId="15" xfId="0" applyFont="1" applyBorder="1" applyAlignment="1" applyProtection="1">
      <alignment horizontal="left"/>
    </xf>
    <xf numFmtId="0" fontId="21" fillId="0" borderId="4" xfId="0" applyFont="1" applyBorder="1" applyAlignment="1" applyProtection="1">
      <alignment horizontal="left"/>
    </xf>
    <xf numFmtId="0" fontId="21" fillId="4" borderId="5" xfId="0" applyFont="1" applyFill="1" applyBorder="1" applyAlignment="1" applyProtection="1">
      <alignment horizontal="left" vertical="center"/>
    </xf>
    <xf numFmtId="0" fontId="60" fillId="0" borderId="1" xfId="0" applyFont="1" applyBorder="1" applyAlignment="1" applyProtection="1">
      <alignment horizontal="center" vertical="justify" wrapText="1"/>
    </xf>
    <xf numFmtId="0" fontId="21" fillId="0" borderId="5" xfId="0" applyFont="1" applyBorder="1" applyAlignment="1" applyProtection="1">
      <alignment horizontal="left" vertical="center" wrapText="1"/>
    </xf>
    <xf numFmtId="0" fontId="60" fillId="0" borderId="5" xfId="0" applyFont="1" applyBorder="1" applyAlignment="1" applyProtection="1">
      <alignment horizontal="center" vertical="justify" wrapText="1"/>
    </xf>
    <xf numFmtId="0" fontId="58" fillId="0" borderId="1" xfId="0" applyFont="1" applyBorder="1" applyAlignment="1" applyProtection="1">
      <alignment horizontal="left" vertical="center" wrapText="1"/>
    </xf>
    <xf numFmtId="0" fontId="58" fillId="0" borderId="1" xfId="0" applyFont="1" applyBorder="1" applyAlignment="1" applyProtection="1">
      <alignment horizontal="center" vertical="justify" wrapText="1"/>
    </xf>
    <xf numFmtId="0" fontId="58" fillId="0" borderId="1" xfId="0" applyFont="1" applyBorder="1" applyAlignment="1" applyProtection="1">
      <alignment horizontal="left"/>
    </xf>
    <xf numFmtId="0" fontId="58" fillId="4" borderId="1" xfId="0" applyFont="1" applyFill="1" applyBorder="1" applyAlignment="1" applyProtection="1">
      <alignment horizontal="left"/>
    </xf>
    <xf numFmtId="0" fontId="60" fillId="0" borderId="6" xfId="0" applyFont="1" applyBorder="1" applyAlignment="1" applyProtection="1">
      <alignment horizontal="left" vertical="justify" wrapText="1"/>
    </xf>
    <xf numFmtId="0" fontId="21" fillId="0" borderId="1" xfId="0" applyFont="1" applyBorder="1" applyAlignment="1" applyProtection="1">
      <alignment horizontal="left" vertical="center"/>
    </xf>
    <xf numFmtId="0" fontId="58" fillId="4" borderId="15" xfId="0" applyFont="1" applyFill="1" applyBorder="1" applyAlignment="1" applyProtection="1">
      <alignment horizontal="left"/>
    </xf>
    <xf numFmtId="0" fontId="58" fillId="4" borderId="4" xfId="0" applyFont="1" applyFill="1" applyBorder="1" applyAlignment="1" applyProtection="1">
      <alignment horizontal="left"/>
    </xf>
    <xf numFmtId="0" fontId="21" fillId="0" borderId="5" xfId="0" applyFont="1" applyBorder="1" applyAlignment="1" applyProtection="1">
      <alignment horizontal="left" vertical="center"/>
    </xf>
    <xf numFmtId="0" fontId="21" fillId="0" borderId="16" xfId="0" applyFont="1" applyBorder="1" applyAlignment="1" applyProtection="1">
      <alignment horizontal="left" vertical="center"/>
    </xf>
    <xf numFmtId="0" fontId="21" fillId="0" borderId="6" xfId="0" applyFont="1" applyBorder="1" applyAlignment="1" applyProtection="1">
      <alignment horizontal="left" vertical="center"/>
    </xf>
    <xf numFmtId="0" fontId="58" fillId="0" borderId="3" xfId="0" applyFont="1" applyBorder="1" applyAlignment="1" applyProtection="1">
      <alignment horizontal="left"/>
    </xf>
    <xf numFmtId="0" fontId="58" fillId="0" borderId="15" xfId="0" applyFont="1" applyBorder="1" applyAlignment="1" applyProtection="1">
      <alignment horizontal="left"/>
    </xf>
    <xf numFmtId="0" fontId="58" fillId="0" borderId="4" xfId="0" applyFont="1" applyBorder="1" applyAlignment="1" applyProtection="1">
      <alignment horizontal="left"/>
    </xf>
    <xf numFmtId="0" fontId="21" fillId="4" borderId="5" xfId="0" applyFont="1" applyFill="1" applyBorder="1" applyAlignment="1" applyProtection="1">
      <alignment horizontal="center" vertical="center"/>
    </xf>
    <xf numFmtId="0" fontId="21" fillId="4" borderId="1" xfId="0" applyFont="1" applyFill="1" applyBorder="1" applyAlignment="1" applyProtection="1">
      <alignment horizontal="center" wrapText="1"/>
    </xf>
    <xf numFmtId="0" fontId="21" fillId="4" borderId="1" xfId="0" applyFont="1" applyFill="1" applyBorder="1" applyAlignment="1" applyProtection="1">
      <alignment horizontal="center" vertical="center" wrapText="1"/>
    </xf>
    <xf numFmtId="0" fontId="58" fillId="4" borderId="1" xfId="0" applyFont="1" applyFill="1" applyBorder="1" applyAlignment="1" applyProtection="1">
      <alignment horizontal="center" wrapText="1"/>
    </xf>
    <xf numFmtId="0" fontId="161" fillId="4" borderId="1" xfId="0" applyFont="1" applyFill="1" applyBorder="1" applyAlignment="1" applyProtection="1">
      <alignment horizontal="center" wrapText="1"/>
    </xf>
    <xf numFmtId="0" fontId="58" fillId="0" borderId="0" xfId="0" applyFont="1" applyAlignment="1" applyProtection="1">
      <alignment horizontal="left"/>
    </xf>
    <xf numFmtId="0" fontId="21" fillId="0" borderId="1" xfId="0" applyFont="1" applyBorder="1" applyAlignment="1" applyProtection="1">
      <alignment horizontal="left" vertical="justify" wrapText="1"/>
    </xf>
    <xf numFmtId="0" fontId="188" fillId="0" borderId="0" xfId="0" applyFont="1" applyAlignment="1" applyProtection="1">
      <alignment horizontal="right"/>
    </xf>
    <xf numFmtId="0" fontId="189" fillId="0" borderId="0" xfId="0" applyFont="1" applyAlignment="1" applyProtection="1">
      <alignment horizontal="right"/>
    </xf>
    <xf numFmtId="0" fontId="128" fillId="4" borderId="5" xfId="0" applyFont="1" applyFill="1" applyBorder="1" applyAlignment="1" applyProtection="1">
      <alignment horizontal="left" vertical="center" wrapText="1"/>
    </xf>
    <xf numFmtId="0" fontId="128" fillId="4" borderId="16" xfId="0" applyFont="1" applyFill="1" applyBorder="1" applyAlignment="1" applyProtection="1">
      <alignment horizontal="left" vertical="center" wrapText="1"/>
    </xf>
    <xf numFmtId="0" fontId="128" fillId="4" borderId="6" xfId="0" applyFont="1" applyFill="1" applyBorder="1" applyAlignment="1" applyProtection="1">
      <alignment horizontal="left" vertical="center" wrapText="1"/>
    </xf>
    <xf numFmtId="0" fontId="131" fillId="4" borderId="5" xfId="0" applyFont="1" applyFill="1" applyBorder="1" applyAlignment="1" applyProtection="1">
      <alignment horizontal="left" vertical="center" wrapText="1"/>
    </xf>
    <xf numFmtId="0" fontId="130" fillId="4" borderId="16" xfId="0" applyFont="1" applyFill="1" applyBorder="1" applyAlignment="1" applyProtection="1">
      <alignment horizontal="left" vertical="center" wrapText="1"/>
    </xf>
    <xf numFmtId="0" fontId="130" fillId="4" borderId="6" xfId="0" applyFont="1" applyFill="1" applyBorder="1" applyAlignment="1" applyProtection="1">
      <alignment horizontal="left" vertical="center" wrapText="1"/>
    </xf>
    <xf numFmtId="0" fontId="58" fillId="0" borderId="30" xfId="0" applyFont="1" applyBorder="1" applyAlignment="1" applyProtection="1">
      <alignment horizontal="left" vertical="top" wrapText="1"/>
    </xf>
    <xf numFmtId="0" fontId="58" fillId="0" borderId="17" xfId="0" applyFont="1" applyBorder="1" applyAlignment="1" applyProtection="1">
      <alignment horizontal="left" vertical="top" wrapText="1"/>
    </xf>
    <xf numFmtId="0" fontId="58" fillId="0" borderId="29" xfId="0" applyFont="1" applyBorder="1" applyAlignment="1" applyProtection="1">
      <alignment horizontal="left" vertical="top" wrapText="1"/>
    </xf>
    <xf numFmtId="0" fontId="58" fillId="0" borderId="58" xfId="0" applyFont="1" applyBorder="1" applyAlignment="1" applyProtection="1">
      <alignment horizontal="left" vertical="top" wrapText="1"/>
    </xf>
    <xf numFmtId="0" fontId="58" fillId="0" borderId="28" xfId="0" applyFont="1" applyBorder="1" applyAlignment="1" applyProtection="1">
      <alignment horizontal="left" vertical="top" wrapText="1"/>
    </xf>
    <xf numFmtId="0" fontId="58" fillId="0" borderId="2" xfId="0" applyFont="1" applyBorder="1" applyAlignment="1" applyProtection="1">
      <alignment horizontal="left" vertical="top" wrapText="1"/>
    </xf>
    <xf numFmtId="0" fontId="58" fillId="0" borderId="18" xfId="0" applyFont="1" applyBorder="1" applyAlignment="1" applyProtection="1">
      <alignment horizontal="left" vertical="top" wrapText="1"/>
    </xf>
    <xf numFmtId="0" fontId="5" fillId="0" borderId="1" xfId="3" applyBorder="1" applyAlignment="1">
      <alignment horizontal="center" vertical="center"/>
    </xf>
    <xf numFmtId="0" fontId="56" fillId="4" borderId="3" xfId="0" applyFont="1" applyFill="1" applyBorder="1" applyAlignment="1" applyProtection="1">
      <alignment horizontal="left"/>
    </xf>
    <xf numFmtId="0" fontId="56" fillId="4" borderId="4" xfId="0" applyFont="1" applyFill="1" applyBorder="1" applyAlignment="1" applyProtection="1">
      <alignment horizontal="left"/>
    </xf>
    <xf numFmtId="0" fontId="56" fillId="4" borderId="30" xfId="0" applyFont="1" applyFill="1" applyBorder="1" applyAlignment="1" applyProtection="1">
      <alignment horizontal="left"/>
    </xf>
    <xf numFmtId="0" fontId="56" fillId="4" borderId="17" xfId="0" applyFont="1" applyFill="1" applyBorder="1" applyAlignment="1" applyProtection="1">
      <alignment horizontal="left"/>
    </xf>
    <xf numFmtId="0" fontId="56" fillId="4" borderId="1" xfId="0" applyFont="1" applyFill="1" applyBorder="1" applyAlignment="1" applyProtection="1">
      <alignment horizontal="left"/>
    </xf>
    <xf numFmtId="0" fontId="56" fillId="4" borderId="3" xfId="0" applyFont="1" applyFill="1" applyBorder="1" applyAlignment="1" applyProtection="1">
      <alignment horizontal="center"/>
      <protection locked="0"/>
    </xf>
    <xf numFmtId="0" fontId="56" fillId="4" borderId="4" xfId="0" applyFont="1" applyFill="1" applyBorder="1" applyAlignment="1" applyProtection="1">
      <alignment horizontal="center"/>
      <protection locked="0"/>
    </xf>
    <xf numFmtId="0" fontId="58" fillId="0" borderId="30" xfId="0" applyFont="1" applyBorder="1" applyAlignment="1" applyProtection="1">
      <alignment horizontal="left" vertical="justify" wrapText="1"/>
    </xf>
    <xf numFmtId="0" fontId="58" fillId="0" borderId="27" xfId="0" applyFont="1" applyBorder="1" applyAlignment="1" applyProtection="1">
      <alignment horizontal="left" vertical="justify" wrapText="1"/>
    </xf>
    <xf numFmtId="0" fontId="58" fillId="0" borderId="17" xfId="0" applyFont="1" applyBorder="1" applyAlignment="1" applyProtection="1">
      <alignment horizontal="left" vertical="justify" wrapText="1"/>
    </xf>
    <xf numFmtId="0" fontId="58" fillId="0" borderId="29" xfId="0" applyFont="1" applyBorder="1" applyAlignment="1" applyProtection="1">
      <alignment horizontal="left" vertical="justify" wrapText="1"/>
    </xf>
    <xf numFmtId="0" fontId="58" fillId="0" borderId="58" xfId="0" applyFont="1" applyBorder="1" applyAlignment="1" applyProtection="1">
      <alignment horizontal="left" vertical="justify" wrapText="1"/>
    </xf>
    <xf numFmtId="0" fontId="58" fillId="0" borderId="28" xfId="0" applyFont="1" applyBorder="1" applyAlignment="1" applyProtection="1">
      <alignment horizontal="left" vertical="justify" wrapText="1"/>
    </xf>
    <xf numFmtId="0" fontId="58" fillId="0" borderId="2" xfId="0" applyFont="1" applyBorder="1" applyAlignment="1" applyProtection="1">
      <alignment horizontal="left" vertical="justify" wrapText="1"/>
    </xf>
    <xf numFmtId="0" fontId="58" fillId="0" borderId="18" xfId="0" applyFont="1" applyBorder="1" applyAlignment="1" applyProtection="1">
      <alignment horizontal="left" vertical="justify" wrapText="1"/>
    </xf>
    <xf numFmtId="0" fontId="142" fillId="4" borderId="5" xfId="0" applyFont="1" applyFill="1" applyBorder="1" applyAlignment="1" applyProtection="1">
      <alignment vertical="center" wrapText="1"/>
    </xf>
    <xf numFmtId="0" fontId="142" fillId="4" borderId="16" xfId="0" applyFont="1" applyFill="1" applyBorder="1" applyAlignment="1" applyProtection="1">
      <alignment vertical="center" wrapText="1"/>
    </xf>
    <xf numFmtId="0" fontId="142" fillId="4" borderId="6" xfId="0" applyFont="1" applyFill="1" applyBorder="1" applyAlignment="1" applyProtection="1">
      <alignment vertical="center" wrapText="1"/>
    </xf>
    <xf numFmtId="0" fontId="21" fillId="0" borderId="0" xfId="0" applyFont="1" applyAlignment="1" applyProtection="1">
      <alignment horizontal="left" wrapText="1"/>
    </xf>
    <xf numFmtId="0" fontId="58" fillId="0" borderId="0" xfId="0" applyFont="1" applyAlignment="1" applyProtection="1">
      <alignment horizontal="left" wrapText="1"/>
    </xf>
    <xf numFmtId="0" fontId="58" fillId="0" borderId="16" xfId="0" applyFont="1" applyBorder="1" applyAlignment="1" applyProtection="1">
      <alignment horizontal="left" vertical="top" wrapText="1"/>
    </xf>
    <xf numFmtId="0" fontId="58" fillId="4" borderId="5" xfId="0" applyFont="1" applyFill="1" applyBorder="1" applyAlignment="1" applyProtection="1">
      <alignment vertical="center" wrapText="1"/>
    </xf>
    <xf numFmtId="0" fontId="58" fillId="4" borderId="16" xfId="0" applyFont="1" applyFill="1" applyBorder="1" applyAlignment="1" applyProtection="1">
      <alignment vertical="center" wrapText="1"/>
    </xf>
    <xf numFmtId="0" fontId="58" fillId="4" borderId="6" xfId="0" applyFont="1" applyFill="1" applyBorder="1" applyAlignment="1" applyProtection="1">
      <alignment vertical="center" wrapText="1"/>
    </xf>
    <xf numFmtId="0" fontId="102" fillId="0" borderId="2" xfId="0" applyFont="1" applyBorder="1" applyAlignment="1" applyProtection="1">
      <alignment horizontal="center"/>
    </xf>
    <xf numFmtId="0" fontId="142" fillId="4" borderId="1" xfId="0" applyFont="1" applyFill="1" applyBorder="1" applyAlignment="1" applyProtection="1">
      <alignment vertical="center" wrapText="1"/>
    </xf>
    <xf numFmtId="0" fontId="60" fillId="0" borderId="1" xfId="0" applyFont="1" applyBorder="1" applyAlignment="1" applyProtection="1">
      <alignment horizontal="left" vertical="top" wrapText="1"/>
    </xf>
    <xf numFmtId="0" fontId="58" fillId="4" borderId="17" xfId="0" applyFont="1" applyFill="1" applyBorder="1" applyAlignment="1" applyProtection="1">
      <alignment horizontal="left" vertical="center" wrapText="1"/>
    </xf>
    <xf numFmtId="0" fontId="58" fillId="4" borderId="58" xfId="0" applyFont="1" applyFill="1" applyBorder="1" applyAlignment="1" applyProtection="1">
      <alignment horizontal="left" vertical="center" wrapText="1"/>
    </xf>
    <xf numFmtId="0" fontId="58" fillId="4" borderId="18" xfId="0" applyFont="1" applyFill="1" applyBorder="1" applyAlignment="1" applyProtection="1">
      <alignment horizontal="left" vertical="center" wrapText="1"/>
    </xf>
    <xf numFmtId="0" fontId="0" fillId="0" borderId="16" xfId="0" applyBorder="1"/>
    <xf numFmtId="0" fontId="0" fillId="0" borderId="6" xfId="0" applyBorder="1"/>
    <xf numFmtId="0" fontId="47" fillId="0" borderId="1" xfId="0" applyFont="1" applyBorder="1" applyAlignment="1" applyProtection="1">
      <alignment horizontal="center" wrapText="1"/>
    </xf>
    <xf numFmtId="0" fontId="43" fillId="0" borderId="1" xfId="0" applyFont="1" applyBorder="1" applyAlignment="1" applyProtection="1">
      <alignment horizontal="center"/>
    </xf>
    <xf numFmtId="0" fontId="44" fillId="0" borderId="0" xfId="0" applyFont="1" applyAlignment="1" applyProtection="1">
      <alignment horizontal="center" vertical="center"/>
    </xf>
    <xf numFmtId="0" fontId="45" fillId="0" borderId="0" xfId="0" applyFont="1" applyAlignment="1" applyProtection="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0" fontId="120" fillId="0" borderId="1" xfId="4" applyFont="1" applyBorder="1" applyAlignment="1" applyProtection="1">
      <alignment horizontal="left" vertical="top" wrapText="1"/>
    </xf>
    <xf numFmtId="0" fontId="124" fillId="4" borderId="1" xfId="4" applyFont="1" applyFill="1" applyBorder="1" applyAlignment="1" applyProtection="1">
      <alignment horizontal="left" vertical="center"/>
    </xf>
    <xf numFmtId="0" fontId="123" fillId="4" borderId="1" xfId="4" applyFont="1" applyFill="1" applyBorder="1" applyAlignment="1" applyProtection="1">
      <alignment horizontal="left" vertical="top" wrapText="1"/>
    </xf>
    <xf numFmtId="0" fontId="122" fillId="0" borderId="1" xfId="4" applyFont="1" applyBorder="1" applyAlignment="1" applyProtection="1">
      <alignment horizontal="center" vertical="center"/>
    </xf>
    <xf numFmtId="0" fontId="58" fillId="4" borderId="1" xfId="0" applyFont="1" applyFill="1" applyBorder="1" applyAlignment="1" applyProtection="1">
      <alignment horizontal="center" vertical="center"/>
      <protection locked="0"/>
    </xf>
    <xf numFmtId="0" fontId="120" fillId="0" borderId="29" xfId="4" applyFont="1" applyBorder="1" applyAlignment="1" applyProtection="1">
      <alignment horizontal="left" vertical="top" wrapText="1"/>
    </xf>
    <xf numFmtId="0" fontId="120" fillId="0" borderId="0" xfId="4" applyFont="1" applyBorder="1" applyAlignment="1" applyProtection="1">
      <alignment horizontal="left" vertical="top" wrapText="1"/>
    </xf>
    <xf numFmtId="0" fontId="58" fillId="0" borderId="1" xfId="0" applyFont="1" applyBorder="1" applyAlignment="1" applyProtection="1">
      <alignment horizontal="center" vertical="center"/>
      <protection locked="0"/>
    </xf>
    <xf numFmtId="0" fontId="120" fillId="0" borderId="0" xfId="4" applyFont="1" applyBorder="1" applyAlignment="1" applyProtection="1">
      <alignment horizontal="left" vertical="justify" wrapText="1"/>
    </xf>
    <xf numFmtId="0" fontId="146" fillId="4" borderId="1" xfId="0" applyFont="1" applyFill="1" applyBorder="1" applyAlignment="1" applyProtection="1">
      <alignment horizontal="center" vertical="center" wrapText="1"/>
    </xf>
    <xf numFmtId="0" fontId="0" fillId="0" borderId="1" xfId="0" applyBorder="1" applyProtection="1"/>
    <xf numFmtId="0" fontId="56" fillId="4" borderId="5" xfId="0" applyFont="1" applyFill="1" applyBorder="1" applyAlignment="1" applyProtection="1">
      <alignment horizontal="center" vertical="center"/>
    </xf>
    <xf numFmtId="0" fontId="56" fillId="4" borderId="6" xfId="0" applyFont="1" applyFill="1" applyBorder="1" applyAlignment="1" applyProtection="1">
      <alignment horizontal="center" vertical="center"/>
    </xf>
    <xf numFmtId="0" fontId="56" fillId="4" borderId="3" xfId="0" applyFont="1" applyFill="1" applyBorder="1" applyAlignment="1" applyProtection="1">
      <alignment horizontal="center" wrapText="1"/>
    </xf>
    <xf numFmtId="0" fontId="56" fillId="4" borderId="4" xfId="0" applyFont="1" applyFill="1" applyBorder="1" applyAlignment="1" applyProtection="1">
      <alignment horizontal="center" wrapText="1"/>
    </xf>
    <xf numFmtId="0" fontId="147" fillId="4" borderId="3" xfId="0" applyFont="1" applyFill="1" applyBorder="1" applyAlignment="1" applyProtection="1">
      <alignment horizontal="center" vertical="center"/>
    </xf>
    <xf numFmtId="0" fontId="147" fillId="4" borderId="15" xfId="0" applyFont="1" applyFill="1" applyBorder="1" applyAlignment="1" applyProtection="1">
      <alignment horizontal="center" vertical="center"/>
    </xf>
    <xf numFmtId="0" fontId="58" fillId="4" borderId="1" xfId="0" applyFont="1" applyFill="1" applyBorder="1" applyAlignment="1" applyProtection="1">
      <alignment horizontal="center" vertical="center"/>
    </xf>
    <xf numFmtId="0" fontId="58" fillId="4" borderId="3" xfId="0" applyFont="1" applyFill="1" applyBorder="1" applyAlignment="1" applyProtection="1">
      <alignment horizontal="center" vertical="center"/>
    </xf>
  </cellXfs>
  <cellStyles count="11">
    <cellStyle name="常规" xfId="0" builtinId="0"/>
    <cellStyle name="常规 2" xfId="1"/>
    <cellStyle name="常规 3" xfId="2"/>
    <cellStyle name="常规 4" xfId="3"/>
    <cellStyle name="常规 5" xfId="4"/>
    <cellStyle name="常规 6" xfId="7"/>
    <cellStyle name="常规 7" xfId="8"/>
    <cellStyle name="常规 8" xfId="9"/>
    <cellStyle name="超链接" xfId="5" builtinId="8"/>
    <cellStyle name="超链接 2" xfId="6"/>
    <cellStyle name="超链接 3" xfId="10"/>
  </cellStyles>
  <dxfs count="4">
    <dxf>
      <font>
        <b/>
        <i val="0"/>
        <strike/>
        <color rgb="FFFF0000"/>
      </font>
    </dxf>
    <dxf>
      <font>
        <b/>
        <i val="0"/>
        <strike val="0"/>
        <color theme="9" tint="-0.24994659260841701"/>
      </font>
    </dxf>
    <dxf>
      <font>
        <b/>
        <i val="0"/>
        <strike val="0"/>
        <color theme="9" tint="-0.24994659260841701"/>
      </font>
      <numFmt numFmtId="179" formatCode="0.00_ "/>
    </dxf>
    <dxf>
      <font>
        <b/>
        <i val="0"/>
        <strike/>
        <color rgb="FFFF0000"/>
      </font>
    </dxf>
  </dxfs>
  <tableStyles count="0" defaultTableStyle="TableStyleMedium2" defaultPivotStyle="PivotStyleMedium9"/>
  <colors>
    <mruColors>
      <color rgb="FF007A37"/>
      <color rgb="FF1E8232"/>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charts/chart1.xml><?xml version="1.0" encoding="utf-8"?>
<c:chartSpace xmlns:c="http://schemas.openxmlformats.org/drawingml/2006/chart" xmlns:a="http://schemas.openxmlformats.org/drawingml/2006/main" xmlns:r="http://schemas.openxmlformats.org/officeDocument/2006/relationships">
  <c:lang val="zh-CN"/>
  <c:chart>
    <c:plotArea>
      <c:layout>
        <c:manualLayout>
          <c:layoutTarget val="inner"/>
          <c:xMode val="edge"/>
          <c:yMode val="edge"/>
          <c:x val="4.4534407492122834E-2"/>
          <c:y val="1.6176327859613971E-2"/>
          <c:w val="0.77199090473589171"/>
          <c:h val="0.9041638880626901"/>
        </c:manualLayout>
      </c:layout>
      <c:scatterChart>
        <c:scatterStyle val="lineMarker"/>
        <c:ser>
          <c:idx val="0"/>
          <c:order val="0"/>
          <c:tx>
            <c:strRef>
              <c:f>硬度与强度换算!$B$6</c:f>
              <c:strCache>
                <c:ptCount val="1"/>
                <c:pt idx="0">
                  <c:v>HB</c:v>
                </c:pt>
              </c:strCache>
            </c:strRef>
          </c:tx>
          <c:spPr>
            <a:ln w="28575">
              <a:noFill/>
            </a:ln>
          </c:spPr>
          <c:trendline>
            <c:trendlineType val="poly"/>
            <c:order val="3"/>
            <c:dispRSqr val="1"/>
            <c:dispEq val="1"/>
            <c:trendlineLbl>
              <c:layout>
                <c:manualLayout>
                  <c:x val="0.19813074779534309"/>
                  <c:y val="0.5458960671665547"/>
                </c:manualLayout>
              </c:layout>
              <c:numFmt formatCode="#,##0.00000000000000000000_);\(#,##0.00000000000000000000\)" sourceLinked="0"/>
            </c:trendlineLbl>
          </c:trendline>
          <c:xVal>
            <c:numRef>
              <c:f>硬度与强度换算!$A$7:$A$113</c:f>
              <c:numCache>
                <c:formatCode>General</c:formatCode>
                <c:ptCount val="107"/>
                <c:pt idx="0">
                  <c:v>17</c:v>
                </c:pt>
                <c:pt idx="1">
                  <c:v>17.5</c:v>
                </c:pt>
                <c:pt idx="2">
                  <c:v>18</c:v>
                </c:pt>
                <c:pt idx="3">
                  <c:v>18.5</c:v>
                </c:pt>
                <c:pt idx="4">
                  <c:v>19</c:v>
                </c:pt>
                <c:pt idx="5">
                  <c:v>19.5</c:v>
                </c:pt>
                <c:pt idx="6">
                  <c:v>20</c:v>
                </c:pt>
                <c:pt idx="7">
                  <c:v>20.5</c:v>
                </c:pt>
                <c:pt idx="8">
                  <c:v>21</c:v>
                </c:pt>
                <c:pt idx="9">
                  <c:v>21.5</c:v>
                </c:pt>
                <c:pt idx="10">
                  <c:v>22</c:v>
                </c:pt>
                <c:pt idx="11">
                  <c:v>22.5</c:v>
                </c:pt>
                <c:pt idx="12">
                  <c:v>23</c:v>
                </c:pt>
                <c:pt idx="13">
                  <c:v>23.5</c:v>
                </c:pt>
                <c:pt idx="14">
                  <c:v>24</c:v>
                </c:pt>
                <c:pt idx="15">
                  <c:v>24.5</c:v>
                </c:pt>
                <c:pt idx="16">
                  <c:v>25</c:v>
                </c:pt>
                <c:pt idx="17">
                  <c:v>25.5</c:v>
                </c:pt>
                <c:pt idx="18">
                  <c:v>26</c:v>
                </c:pt>
                <c:pt idx="19">
                  <c:v>26.5</c:v>
                </c:pt>
                <c:pt idx="20">
                  <c:v>27</c:v>
                </c:pt>
                <c:pt idx="21">
                  <c:v>27.5</c:v>
                </c:pt>
                <c:pt idx="22">
                  <c:v>28</c:v>
                </c:pt>
                <c:pt idx="23">
                  <c:v>28.5</c:v>
                </c:pt>
                <c:pt idx="24">
                  <c:v>29</c:v>
                </c:pt>
                <c:pt idx="25">
                  <c:v>29.5</c:v>
                </c:pt>
                <c:pt idx="26">
                  <c:v>30</c:v>
                </c:pt>
                <c:pt idx="27">
                  <c:v>30.5</c:v>
                </c:pt>
                <c:pt idx="28">
                  <c:v>31</c:v>
                </c:pt>
                <c:pt idx="29">
                  <c:v>31.5</c:v>
                </c:pt>
                <c:pt idx="30">
                  <c:v>32</c:v>
                </c:pt>
                <c:pt idx="31">
                  <c:v>32.5</c:v>
                </c:pt>
                <c:pt idx="32">
                  <c:v>33</c:v>
                </c:pt>
                <c:pt idx="33">
                  <c:v>33.5</c:v>
                </c:pt>
                <c:pt idx="34">
                  <c:v>34</c:v>
                </c:pt>
                <c:pt idx="35">
                  <c:v>34.5</c:v>
                </c:pt>
                <c:pt idx="36">
                  <c:v>35</c:v>
                </c:pt>
                <c:pt idx="37">
                  <c:v>35.5</c:v>
                </c:pt>
                <c:pt idx="38">
                  <c:v>36</c:v>
                </c:pt>
                <c:pt idx="39">
                  <c:v>36.5</c:v>
                </c:pt>
                <c:pt idx="40">
                  <c:v>37</c:v>
                </c:pt>
                <c:pt idx="41">
                  <c:v>37.5</c:v>
                </c:pt>
                <c:pt idx="42">
                  <c:v>38</c:v>
                </c:pt>
                <c:pt idx="43">
                  <c:v>38.5</c:v>
                </c:pt>
                <c:pt idx="44">
                  <c:v>39</c:v>
                </c:pt>
                <c:pt idx="45">
                  <c:v>39.5</c:v>
                </c:pt>
                <c:pt idx="46">
                  <c:v>40</c:v>
                </c:pt>
                <c:pt idx="47">
                  <c:v>40.5</c:v>
                </c:pt>
                <c:pt idx="48">
                  <c:v>41</c:v>
                </c:pt>
                <c:pt idx="49">
                  <c:v>41.5</c:v>
                </c:pt>
                <c:pt idx="50">
                  <c:v>42</c:v>
                </c:pt>
                <c:pt idx="51">
                  <c:v>42.5</c:v>
                </c:pt>
                <c:pt idx="52">
                  <c:v>43</c:v>
                </c:pt>
                <c:pt idx="53">
                  <c:v>43.5</c:v>
                </c:pt>
                <c:pt idx="54">
                  <c:v>44</c:v>
                </c:pt>
                <c:pt idx="55">
                  <c:v>44.5</c:v>
                </c:pt>
                <c:pt idx="56">
                  <c:v>45</c:v>
                </c:pt>
                <c:pt idx="57">
                  <c:v>45.5</c:v>
                </c:pt>
                <c:pt idx="58">
                  <c:v>46</c:v>
                </c:pt>
                <c:pt idx="59">
                  <c:v>46.5</c:v>
                </c:pt>
                <c:pt idx="60">
                  <c:v>47</c:v>
                </c:pt>
                <c:pt idx="61">
                  <c:v>47.5</c:v>
                </c:pt>
                <c:pt idx="62">
                  <c:v>48</c:v>
                </c:pt>
                <c:pt idx="63">
                  <c:v>48.5</c:v>
                </c:pt>
                <c:pt idx="64">
                  <c:v>49</c:v>
                </c:pt>
                <c:pt idx="65">
                  <c:v>49.5</c:v>
                </c:pt>
                <c:pt idx="66">
                  <c:v>50</c:v>
                </c:pt>
                <c:pt idx="67">
                  <c:v>50.5</c:v>
                </c:pt>
                <c:pt idx="68">
                  <c:v>51</c:v>
                </c:pt>
                <c:pt idx="69">
                  <c:v>51.5</c:v>
                </c:pt>
                <c:pt idx="70">
                  <c:v>52</c:v>
                </c:pt>
                <c:pt idx="71">
                  <c:v>52.5</c:v>
                </c:pt>
                <c:pt idx="72">
                  <c:v>53</c:v>
                </c:pt>
                <c:pt idx="73">
                  <c:v>53.5</c:v>
                </c:pt>
                <c:pt idx="74">
                  <c:v>54</c:v>
                </c:pt>
                <c:pt idx="75">
                  <c:v>54.5</c:v>
                </c:pt>
                <c:pt idx="76">
                  <c:v>55</c:v>
                </c:pt>
                <c:pt idx="77">
                  <c:v>55.5</c:v>
                </c:pt>
                <c:pt idx="78">
                  <c:v>56</c:v>
                </c:pt>
                <c:pt idx="79">
                  <c:v>56.5</c:v>
                </c:pt>
                <c:pt idx="80">
                  <c:v>57</c:v>
                </c:pt>
                <c:pt idx="81">
                  <c:v>57.5</c:v>
                </c:pt>
                <c:pt idx="82">
                  <c:v>58</c:v>
                </c:pt>
                <c:pt idx="83">
                  <c:v>58.5</c:v>
                </c:pt>
                <c:pt idx="84">
                  <c:v>59</c:v>
                </c:pt>
                <c:pt idx="85">
                  <c:v>59.5</c:v>
                </c:pt>
                <c:pt idx="86">
                  <c:v>60</c:v>
                </c:pt>
                <c:pt idx="87">
                  <c:v>60.5</c:v>
                </c:pt>
                <c:pt idx="88">
                  <c:v>61</c:v>
                </c:pt>
                <c:pt idx="89">
                  <c:v>61.5</c:v>
                </c:pt>
                <c:pt idx="90">
                  <c:v>62</c:v>
                </c:pt>
                <c:pt idx="91">
                  <c:v>62.5</c:v>
                </c:pt>
                <c:pt idx="92">
                  <c:v>63</c:v>
                </c:pt>
                <c:pt idx="93">
                  <c:v>63.5</c:v>
                </c:pt>
                <c:pt idx="94">
                  <c:v>64</c:v>
                </c:pt>
                <c:pt idx="95">
                  <c:v>64.5</c:v>
                </c:pt>
                <c:pt idx="96">
                  <c:v>65</c:v>
                </c:pt>
                <c:pt idx="97">
                  <c:v>65.5</c:v>
                </c:pt>
                <c:pt idx="98">
                  <c:v>66</c:v>
                </c:pt>
                <c:pt idx="99">
                  <c:v>66.5</c:v>
                </c:pt>
                <c:pt idx="100">
                  <c:v>67</c:v>
                </c:pt>
                <c:pt idx="101">
                  <c:v>67.5</c:v>
                </c:pt>
                <c:pt idx="102">
                  <c:v>68</c:v>
                </c:pt>
                <c:pt idx="103">
                  <c:v>68.5</c:v>
                </c:pt>
                <c:pt idx="104">
                  <c:v>69</c:v>
                </c:pt>
                <c:pt idx="105">
                  <c:v>69.5</c:v>
                </c:pt>
                <c:pt idx="106">
                  <c:v>70</c:v>
                </c:pt>
              </c:numCache>
            </c:numRef>
          </c:xVal>
          <c:yVal>
            <c:numRef>
              <c:f>硬度与强度换算!$B$7:$B$113</c:f>
              <c:numCache>
                <c:formatCode>General</c:formatCode>
                <c:ptCount val="107"/>
                <c:pt idx="0">
                  <c:v>211</c:v>
                </c:pt>
                <c:pt idx="1">
                  <c:v>214</c:v>
                </c:pt>
                <c:pt idx="2">
                  <c:v>216</c:v>
                </c:pt>
                <c:pt idx="3">
                  <c:v>218</c:v>
                </c:pt>
                <c:pt idx="4">
                  <c:v>220</c:v>
                </c:pt>
                <c:pt idx="5">
                  <c:v>222</c:v>
                </c:pt>
                <c:pt idx="6">
                  <c:v>225</c:v>
                </c:pt>
                <c:pt idx="7">
                  <c:v>227</c:v>
                </c:pt>
                <c:pt idx="8">
                  <c:v>229</c:v>
                </c:pt>
                <c:pt idx="9">
                  <c:v>232</c:v>
                </c:pt>
                <c:pt idx="10">
                  <c:v>234</c:v>
                </c:pt>
                <c:pt idx="11">
                  <c:v>237</c:v>
                </c:pt>
                <c:pt idx="12">
                  <c:v>240</c:v>
                </c:pt>
                <c:pt idx="13">
                  <c:v>242</c:v>
                </c:pt>
                <c:pt idx="14">
                  <c:v>245</c:v>
                </c:pt>
                <c:pt idx="15">
                  <c:v>248</c:v>
                </c:pt>
                <c:pt idx="16">
                  <c:v>251</c:v>
                </c:pt>
                <c:pt idx="17">
                  <c:v>254</c:v>
                </c:pt>
                <c:pt idx="18">
                  <c:v>257</c:v>
                </c:pt>
                <c:pt idx="19">
                  <c:v>260</c:v>
                </c:pt>
                <c:pt idx="20">
                  <c:v>263</c:v>
                </c:pt>
                <c:pt idx="21">
                  <c:v>266</c:v>
                </c:pt>
                <c:pt idx="22">
                  <c:v>269</c:v>
                </c:pt>
                <c:pt idx="23">
                  <c:v>273</c:v>
                </c:pt>
                <c:pt idx="24">
                  <c:v>276</c:v>
                </c:pt>
                <c:pt idx="25">
                  <c:v>280</c:v>
                </c:pt>
                <c:pt idx="26">
                  <c:v>283</c:v>
                </c:pt>
                <c:pt idx="27">
                  <c:v>287</c:v>
                </c:pt>
                <c:pt idx="28">
                  <c:v>291</c:v>
                </c:pt>
                <c:pt idx="29">
                  <c:v>294</c:v>
                </c:pt>
                <c:pt idx="30">
                  <c:v>298</c:v>
                </c:pt>
                <c:pt idx="31">
                  <c:v>302</c:v>
                </c:pt>
                <c:pt idx="32">
                  <c:v>306</c:v>
                </c:pt>
                <c:pt idx="33">
                  <c:v>310</c:v>
                </c:pt>
                <c:pt idx="34">
                  <c:v>314</c:v>
                </c:pt>
                <c:pt idx="35">
                  <c:v>318</c:v>
                </c:pt>
                <c:pt idx="36">
                  <c:v>323</c:v>
                </c:pt>
                <c:pt idx="37">
                  <c:v>327</c:v>
                </c:pt>
                <c:pt idx="38">
                  <c:v>332</c:v>
                </c:pt>
                <c:pt idx="39">
                  <c:v>336</c:v>
                </c:pt>
                <c:pt idx="40">
                  <c:v>341</c:v>
                </c:pt>
                <c:pt idx="41">
                  <c:v>345</c:v>
                </c:pt>
                <c:pt idx="42">
                  <c:v>350</c:v>
                </c:pt>
                <c:pt idx="43">
                  <c:v>355</c:v>
                </c:pt>
                <c:pt idx="44">
                  <c:v>360</c:v>
                </c:pt>
                <c:pt idx="45">
                  <c:v>365</c:v>
                </c:pt>
                <c:pt idx="46">
                  <c:v>370</c:v>
                </c:pt>
                <c:pt idx="47">
                  <c:v>375</c:v>
                </c:pt>
                <c:pt idx="48">
                  <c:v>380</c:v>
                </c:pt>
                <c:pt idx="49">
                  <c:v>385</c:v>
                </c:pt>
                <c:pt idx="50">
                  <c:v>391</c:v>
                </c:pt>
                <c:pt idx="51">
                  <c:v>396</c:v>
                </c:pt>
                <c:pt idx="52">
                  <c:v>401</c:v>
                </c:pt>
                <c:pt idx="53">
                  <c:v>407</c:v>
                </c:pt>
                <c:pt idx="54">
                  <c:v>413</c:v>
                </c:pt>
                <c:pt idx="55">
                  <c:v>418</c:v>
                </c:pt>
                <c:pt idx="56">
                  <c:v>424</c:v>
                </c:pt>
                <c:pt idx="57">
                  <c:v>430</c:v>
                </c:pt>
                <c:pt idx="58">
                  <c:v>436</c:v>
                </c:pt>
                <c:pt idx="59">
                  <c:v>442</c:v>
                </c:pt>
                <c:pt idx="60">
                  <c:v>449</c:v>
                </c:pt>
                <c:pt idx="61">
                  <c:v>455</c:v>
                </c:pt>
                <c:pt idx="62">
                  <c:v>461</c:v>
                </c:pt>
                <c:pt idx="63">
                  <c:v>468</c:v>
                </c:pt>
                <c:pt idx="64">
                  <c:v>474</c:v>
                </c:pt>
                <c:pt idx="65">
                  <c:v>481</c:v>
                </c:pt>
                <c:pt idx="66">
                  <c:v>488</c:v>
                </c:pt>
                <c:pt idx="67">
                  <c:v>494</c:v>
                </c:pt>
                <c:pt idx="68">
                  <c:v>501</c:v>
                </c:pt>
              </c:numCache>
            </c:numRef>
          </c:yVal>
        </c:ser>
        <c:ser>
          <c:idx val="1"/>
          <c:order val="1"/>
          <c:tx>
            <c:strRef>
              <c:f>硬度与强度换算!$C$6</c:f>
              <c:strCache>
                <c:ptCount val="1"/>
                <c:pt idx="0">
                  <c:v>HV</c:v>
                </c:pt>
              </c:strCache>
            </c:strRef>
          </c:tx>
          <c:spPr>
            <a:ln w="28575">
              <a:noFill/>
            </a:ln>
          </c:spPr>
          <c:trendline>
            <c:trendlineType val="poly"/>
            <c:order val="5"/>
            <c:dispRSqr val="1"/>
            <c:dispEq val="1"/>
            <c:trendlineLbl>
              <c:numFmt formatCode="#,##0.00000000000000000000_);\(#,##0.00000000000000000000\)" sourceLinked="0"/>
            </c:trendlineLbl>
          </c:trendline>
          <c:xVal>
            <c:numRef>
              <c:f>硬度与强度换算!$A$7:$A$113</c:f>
              <c:numCache>
                <c:formatCode>General</c:formatCode>
                <c:ptCount val="107"/>
                <c:pt idx="0">
                  <c:v>17</c:v>
                </c:pt>
                <c:pt idx="1">
                  <c:v>17.5</c:v>
                </c:pt>
                <c:pt idx="2">
                  <c:v>18</c:v>
                </c:pt>
                <c:pt idx="3">
                  <c:v>18.5</c:v>
                </c:pt>
                <c:pt idx="4">
                  <c:v>19</c:v>
                </c:pt>
                <c:pt idx="5">
                  <c:v>19.5</c:v>
                </c:pt>
                <c:pt idx="6">
                  <c:v>20</c:v>
                </c:pt>
                <c:pt idx="7">
                  <c:v>20.5</c:v>
                </c:pt>
                <c:pt idx="8">
                  <c:v>21</c:v>
                </c:pt>
                <c:pt idx="9">
                  <c:v>21.5</c:v>
                </c:pt>
                <c:pt idx="10">
                  <c:v>22</c:v>
                </c:pt>
                <c:pt idx="11">
                  <c:v>22.5</c:v>
                </c:pt>
                <c:pt idx="12">
                  <c:v>23</c:v>
                </c:pt>
                <c:pt idx="13">
                  <c:v>23.5</c:v>
                </c:pt>
                <c:pt idx="14">
                  <c:v>24</c:v>
                </c:pt>
                <c:pt idx="15">
                  <c:v>24.5</c:v>
                </c:pt>
                <c:pt idx="16">
                  <c:v>25</c:v>
                </c:pt>
                <c:pt idx="17">
                  <c:v>25.5</c:v>
                </c:pt>
                <c:pt idx="18">
                  <c:v>26</c:v>
                </c:pt>
                <c:pt idx="19">
                  <c:v>26.5</c:v>
                </c:pt>
                <c:pt idx="20">
                  <c:v>27</c:v>
                </c:pt>
                <c:pt idx="21">
                  <c:v>27.5</c:v>
                </c:pt>
                <c:pt idx="22">
                  <c:v>28</c:v>
                </c:pt>
                <c:pt idx="23">
                  <c:v>28.5</c:v>
                </c:pt>
                <c:pt idx="24">
                  <c:v>29</c:v>
                </c:pt>
                <c:pt idx="25">
                  <c:v>29.5</c:v>
                </c:pt>
                <c:pt idx="26">
                  <c:v>30</c:v>
                </c:pt>
                <c:pt idx="27">
                  <c:v>30.5</c:v>
                </c:pt>
                <c:pt idx="28">
                  <c:v>31</c:v>
                </c:pt>
                <c:pt idx="29">
                  <c:v>31.5</c:v>
                </c:pt>
                <c:pt idx="30">
                  <c:v>32</c:v>
                </c:pt>
                <c:pt idx="31">
                  <c:v>32.5</c:v>
                </c:pt>
                <c:pt idx="32">
                  <c:v>33</c:v>
                </c:pt>
                <c:pt idx="33">
                  <c:v>33.5</c:v>
                </c:pt>
                <c:pt idx="34">
                  <c:v>34</c:v>
                </c:pt>
                <c:pt idx="35">
                  <c:v>34.5</c:v>
                </c:pt>
                <c:pt idx="36">
                  <c:v>35</c:v>
                </c:pt>
                <c:pt idx="37">
                  <c:v>35.5</c:v>
                </c:pt>
                <c:pt idx="38">
                  <c:v>36</c:v>
                </c:pt>
                <c:pt idx="39">
                  <c:v>36.5</c:v>
                </c:pt>
                <c:pt idx="40">
                  <c:v>37</c:v>
                </c:pt>
                <c:pt idx="41">
                  <c:v>37.5</c:v>
                </c:pt>
                <c:pt idx="42">
                  <c:v>38</c:v>
                </c:pt>
                <c:pt idx="43">
                  <c:v>38.5</c:v>
                </c:pt>
                <c:pt idx="44">
                  <c:v>39</c:v>
                </c:pt>
                <c:pt idx="45">
                  <c:v>39.5</c:v>
                </c:pt>
                <c:pt idx="46">
                  <c:v>40</c:v>
                </c:pt>
                <c:pt idx="47">
                  <c:v>40.5</c:v>
                </c:pt>
                <c:pt idx="48">
                  <c:v>41</c:v>
                </c:pt>
                <c:pt idx="49">
                  <c:v>41.5</c:v>
                </c:pt>
                <c:pt idx="50">
                  <c:v>42</c:v>
                </c:pt>
                <c:pt idx="51">
                  <c:v>42.5</c:v>
                </c:pt>
                <c:pt idx="52">
                  <c:v>43</c:v>
                </c:pt>
                <c:pt idx="53">
                  <c:v>43.5</c:v>
                </c:pt>
                <c:pt idx="54">
                  <c:v>44</c:v>
                </c:pt>
                <c:pt idx="55">
                  <c:v>44.5</c:v>
                </c:pt>
                <c:pt idx="56">
                  <c:v>45</c:v>
                </c:pt>
                <c:pt idx="57">
                  <c:v>45.5</c:v>
                </c:pt>
                <c:pt idx="58">
                  <c:v>46</c:v>
                </c:pt>
                <c:pt idx="59">
                  <c:v>46.5</c:v>
                </c:pt>
                <c:pt idx="60">
                  <c:v>47</c:v>
                </c:pt>
                <c:pt idx="61">
                  <c:v>47.5</c:v>
                </c:pt>
                <c:pt idx="62">
                  <c:v>48</c:v>
                </c:pt>
                <c:pt idx="63">
                  <c:v>48.5</c:v>
                </c:pt>
                <c:pt idx="64">
                  <c:v>49</c:v>
                </c:pt>
                <c:pt idx="65">
                  <c:v>49.5</c:v>
                </c:pt>
                <c:pt idx="66">
                  <c:v>50</c:v>
                </c:pt>
                <c:pt idx="67">
                  <c:v>50.5</c:v>
                </c:pt>
                <c:pt idx="68">
                  <c:v>51</c:v>
                </c:pt>
                <c:pt idx="69">
                  <c:v>51.5</c:v>
                </c:pt>
                <c:pt idx="70">
                  <c:v>52</c:v>
                </c:pt>
                <c:pt idx="71">
                  <c:v>52.5</c:v>
                </c:pt>
                <c:pt idx="72">
                  <c:v>53</c:v>
                </c:pt>
                <c:pt idx="73">
                  <c:v>53.5</c:v>
                </c:pt>
                <c:pt idx="74">
                  <c:v>54</c:v>
                </c:pt>
                <c:pt idx="75">
                  <c:v>54.5</c:v>
                </c:pt>
                <c:pt idx="76">
                  <c:v>55</c:v>
                </c:pt>
                <c:pt idx="77">
                  <c:v>55.5</c:v>
                </c:pt>
                <c:pt idx="78">
                  <c:v>56</c:v>
                </c:pt>
                <c:pt idx="79">
                  <c:v>56.5</c:v>
                </c:pt>
                <c:pt idx="80">
                  <c:v>57</c:v>
                </c:pt>
                <c:pt idx="81">
                  <c:v>57.5</c:v>
                </c:pt>
                <c:pt idx="82">
                  <c:v>58</c:v>
                </c:pt>
                <c:pt idx="83">
                  <c:v>58.5</c:v>
                </c:pt>
                <c:pt idx="84">
                  <c:v>59</c:v>
                </c:pt>
                <c:pt idx="85">
                  <c:v>59.5</c:v>
                </c:pt>
                <c:pt idx="86">
                  <c:v>60</c:v>
                </c:pt>
                <c:pt idx="87">
                  <c:v>60.5</c:v>
                </c:pt>
                <c:pt idx="88">
                  <c:v>61</c:v>
                </c:pt>
                <c:pt idx="89">
                  <c:v>61.5</c:v>
                </c:pt>
                <c:pt idx="90">
                  <c:v>62</c:v>
                </c:pt>
                <c:pt idx="91">
                  <c:v>62.5</c:v>
                </c:pt>
                <c:pt idx="92">
                  <c:v>63</c:v>
                </c:pt>
                <c:pt idx="93">
                  <c:v>63.5</c:v>
                </c:pt>
                <c:pt idx="94">
                  <c:v>64</c:v>
                </c:pt>
                <c:pt idx="95">
                  <c:v>64.5</c:v>
                </c:pt>
                <c:pt idx="96">
                  <c:v>65</c:v>
                </c:pt>
                <c:pt idx="97">
                  <c:v>65.5</c:v>
                </c:pt>
                <c:pt idx="98">
                  <c:v>66</c:v>
                </c:pt>
                <c:pt idx="99">
                  <c:v>66.5</c:v>
                </c:pt>
                <c:pt idx="100">
                  <c:v>67</c:v>
                </c:pt>
                <c:pt idx="101">
                  <c:v>67.5</c:v>
                </c:pt>
                <c:pt idx="102">
                  <c:v>68</c:v>
                </c:pt>
                <c:pt idx="103">
                  <c:v>68.5</c:v>
                </c:pt>
                <c:pt idx="104">
                  <c:v>69</c:v>
                </c:pt>
                <c:pt idx="105">
                  <c:v>69.5</c:v>
                </c:pt>
                <c:pt idx="106">
                  <c:v>70</c:v>
                </c:pt>
              </c:numCache>
            </c:numRef>
          </c:xVal>
          <c:yVal>
            <c:numRef>
              <c:f>硬度与强度换算!$C$7:$C$113</c:f>
              <c:numCache>
                <c:formatCode>General</c:formatCode>
                <c:ptCount val="107"/>
                <c:pt idx="0">
                  <c:v>211</c:v>
                </c:pt>
                <c:pt idx="1">
                  <c:v>214</c:v>
                </c:pt>
                <c:pt idx="2">
                  <c:v>216</c:v>
                </c:pt>
                <c:pt idx="3">
                  <c:v>218</c:v>
                </c:pt>
                <c:pt idx="4">
                  <c:v>221</c:v>
                </c:pt>
                <c:pt idx="5">
                  <c:v>223</c:v>
                </c:pt>
                <c:pt idx="6">
                  <c:v>226</c:v>
                </c:pt>
                <c:pt idx="7">
                  <c:v>229</c:v>
                </c:pt>
                <c:pt idx="8">
                  <c:v>231</c:v>
                </c:pt>
                <c:pt idx="9">
                  <c:v>234</c:v>
                </c:pt>
                <c:pt idx="10">
                  <c:v>237</c:v>
                </c:pt>
                <c:pt idx="11">
                  <c:v>240</c:v>
                </c:pt>
                <c:pt idx="12">
                  <c:v>243</c:v>
                </c:pt>
                <c:pt idx="13">
                  <c:v>246</c:v>
                </c:pt>
                <c:pt idx="14">
                  <c:v>249</c:v>
                </c:pt>
                <c:pt idx="15">
                  <c:v>252</c:v>
                </c:pt>
                <c:pt idx="16">
                  <c:v>255</c:v>
                </c:pt>
                <c:pt idx="17">
                  <c:v>258</c:v>
                </c:pt>
                <c:pt idx="18">
                  <c:v>261</c:v>
                </c:pt>
                <c:pt idx="19">
                  <c:v>264</c:v>
                </c:pt>
                <c:pt idx="20">
                  <c:v>268</c:v>
                </c:pt>
                <c:pt idx="21">
                  <c:v>271</c:v>
                </c:pt>
                <c:pt idx="22">
                  <c:v>274</c:v>
                </c:pt>
                <c:pt idx="23">
                  <c:v>278</c:v>
                </c:pt>
                <c:pt idx="24">
                  <c:v>281</c:v>
                </c:pt>
                <c:pt idx="25">
                  <c:v>285</c:v>
                </c:pt>
                <c:pt idx="26">
                  <c:v>288</c:v>
                </c:pt>
                <c:pt idx="27">
                  <c:v>292</c:v>
                </c:pt>
                <c:pt idx="28">
                  <c:v>296</c:v>
                </c:pt>
                <c:pt idx="29">
                  <c:v>300</c:v>
                </c:pt>
                <c:pt idx="30">
                  <c:v>304</c:v>
                </c:pt>
                <c:pt idx="31">
                  <c:v>308</c:v>
                </c:pt>
                <c:pt idx="32">
                  <c:v>312</c:v>
                </c:pt>
                <c:pt idx="33">
                  <c:v>316</c:v>
                </c:pt>
                <c:pt idx="34">
                  <c:v>320</c:v>
                </c:pt>
                <c:pt idx="35">
                  <c:v>324</c:v>
                </c:pt>
                <c:pt idx="36">
                  <c:v>329</c:v>
                </c:pt>
                <c:pt idx="37">
                  <c:v>333</c:v>
                </c:pt>
                <c:pt idx="38">
                  <c:v>338</c:v>
                </c:pt>
                <c:pt idx="39">
                  <c:v>342</c:v>
                </c:pt>
                <c:pt idx="40">
                  <c:v>347</c:v>
                </c:pt>
                <c:pt idx="41">
                  <c:v>352</c:v>
                </c:pt>
                <c:pt idx="42">
                  <c:v>357</c:v>
                </c:pt>
                <c:pt idx="43">
                  <c:v>362</c:v>
                </c:pt>
                <c:pt idx="44">
                  <c:v>367</c:v>
                </c:pt>
                <c:pt idx="45">
                  <c:v>372</c:v>
                </c:pt>
                <c:pt idx="46">
                  <c:v>377</c:v>
                </c:pt>
                <c:pt idx="47">
                  <c:v>382</c:v>
                </c:pt>
                <c:pt idx="48">
                  <c:v>388</c:v>
                </c:pt>
                <c:pt idx="49">
                  <c:v>393</c:v>
                </c:pt>
                <c:pt idx="50">
                  <c:v>399</c:v>
                </c:pt>
                <c:pt idx="51">
                  <c:v>405</c:v>
                </c:pt>
                <c:pt idx="52">
                  <c:v>411</c:v>
                </c:pt>
                <c:pt idx="53">
                  <c:v>417</c:v>
                </c:pt>
                <c:pt idx="54">
                  <c:v>423</c:v>
                </c:pt>
                <c:pt idx="55">
                  <c:v>429</c:v>
                </c:pt>
                <c:pt idx="56">
                  <c:v>436</c:v>
                </c:pt>
                <c:pt idx="57">
                  <c:v>443</c:v>
                </c:pt>
                <c:pt idx="58">
                  <c:v>449</c:v>
                </c:pt>
                <c:pt idx="59">
                  <c:v>456</c:v>
                </c:pt>
                <c:pt idx="60">
                  <c:v>463</c:v>
                </c:pt>
                <c:pt idx="61">
                  <c:v>470</c:v>
                </c:pt>
                <c:pt idx="62">
                  <c:v>478</c:v>
                </c:pt>
                <c:pt idx="63">
                  <c:v>485</c:v>
                </c:pt>
                <c:pt idx="64">
                  <c:v>493</c:v>
                </c:pt>
                <c:pt idx="65">
                  <c:v>501</c:v>
                </c:pt>
                <c:pt idx="66">
                  <c:v>509</c:v>
                </c:pt>
                <c:pt idx="67">
                  <c:v>517</c:v>
                </c:pt>
                <c:pt idx="68">
                  <c:v>525</c:v>
                </c:pt>
                <c:pt idx="69">
                  <c:v>534</c:v>
                </c:pt>
                <c:pt idx="70">
                  <c:v>543</c:v>
                </c:pt>
                <c:pt idx="71">
                  <c:v>551</c:v>
                </c:pt>
                <c:pt idx="72">
                  <c:v>561</c:v>
                </c:pt>
                <c:pt idx="73">
                  <c:v>570</c:v>
                </c:pt>
                <c:pt idx="74">
                  <c:v>579</c:v>
                </c:pt>
                <c:pt idx="75">
                  <c:v>589</c:v>
                </c:pt>
                <c:pt idx="76">
                  <c:v>599</c:v>
                </c:pt>
                <c:pt idx="77">
                  <c:v>609</c:v>
                </c:pt>
                <c:pt idx="78">
                  <c:v>620</c:v>
                </c:pt>
                <c:pt idx="79">
                  <c:v>631</c:v>
                </c:pt>
                <c:pt idx="80">
                  <c:v>642</c:v>
                </c:pt>
                <c:pt idx="81">
                  <c:v>653</c:v>
                </c:pt>
                <c:pt idx="82">
                  <c:v>664</c:v>
                </c:pt>
                <c:pt idx="83">
                  <c:v>676</c:v>
                </c:pt>
                <c:pt idx="84">
                  <c:v>688</c:v>
                </c:pt>
                <c:pt idx="85">
                  <c:v>700</c:v>
                </c:pt>
                <c:pt idx="86">
                  <c:v>713</c:v>
                </c:pt>
                <c:pt idx="87">
                  <c:v>726</c:v>
                </c:pt>
                <c:pt idx="88">
                  <c:v>739</c:v>
                </c:pt>
                <c:pt idx="89">
                  <c:v>752</c:v>
                </c:pt>
                <c:pt idx="90">
                  <c:v>766</c:v>
                </c:pt>
                <c:pt idx="91">
                  <c:v>780</c:v>
                </c:pt>
                <c:pt idx="92">
                  <c:v>795</c:v>
                </c:pt>
                <c:pt idx="93">
                  <c:v>810</c:v>
                </c:pt>
                <c:pt idx="94">
                  <c:v>825</c:v>
                </c:pt>
                <c:pt idx="95">
                  <c:v>840</c:v>
                </c:pt>
                <c:pt idx="96">
                  <c:v>856</c:v>
                </c:pt>
                <c:pt idx="97">
                  <c:v>872</c:v>
                </c:pt>
                <c:pt idx="98">
                  <c:v>889</c:v>
                </c:pt>
                <c:pt idx="99">
                  <c:v>906</c:v>
                </c:pt>
                <c:pt idx="100">
                  <c:v>923</c:v>
                </c:pt>
                <c:pt idx="101">
                  <c:v>941</c:v>
                </c:pt>
                <c:pt idx="102">
                  <c:v>959</c:v>
                </c:pt>
                <c:pt idx="103">
                  <c:v>978</c:v>
                </c:pt>
                <c:pt idx="104">
                  <c:v>997</c:v>
                </c:pt>
                <c:pt idx="105">
                  <c:v>1017</c:v>
                </c:pt>
                <c:pt idx="106">
                  <c:v>1037</c:v>
                </c:pt>
              </c:numCache>
            </c:numRef>
          </c:yVal>
        </c:ser>
        <c:axId val="110082688"/>
        <c:axId val="110363008"/>
      </c:scatterChart>
      <c:valAx>
        <c:axId val="110082688"/>
        <c:scaling>
          <c:orientation val="minMax"/>
          <c:max val="71"/>
          <c:min val="17"/>
        </c:scaling>
        <c:axPos val="b"/>
        <c:numFmt formatCode="General" sourceLinked="1"/>
        <c:tickLblPos val="nextTo"/>
        <c:crossAx val="110363008"/>
        <c:crosses val="autoZero"/>
        <c:crossBetween val="midCat"/>
        <c:majorUnit val="5"/>
        <c:minorUnit val="1"/>
      </c:valAx>
      <c:valAx>
        <c:axId val="110363008"/>
        <c:scaling>
          <c:orientation val="minMax"/>
          <c:max val="1100"/>
          <c:min val="200"/>
        </c:scaling>
        <c:axPos val="l"/>
        <c:majorGridlines/>
        <c:numFmt formatCode="General" sourceLinked="1"/>
        <c:tickLblPos val="nextTo"/>
        <c:crossAx val="110082688"/>
        <c:crosses val="autoZero"/>
        <c:crossBetween val="midCat"/>
        <c:majorUnit val="20"/>
        <c:minorUnit val="10"/>
      </c:valAx>
    </c:plotArea>
    <c:legend>
      <c:legendPos val="r"/>
    </c:legend>
    <c:plotVisOnly val="1"/>
  </c:chart>
  <c:printSettings>
    <c:headerFooter/>
    <c:pageMargins b="0.7500000000000091" l="0.70000000000000062" r="0.70000000000000062" t="0.750000000000009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zh-CN"/>
  <c:chart>
    <c:plotArea>
      <c:layout>
        <c:manualLayout>
          <c:layoutTarget val="inner"/>
          <c:xMode val="edge"/>
          <c:yMode val="edge"/>
          <c:x val="7.9992050352957034E-2"/>
          <c:y val="4.9470094592185404E-2"/>
          <c:w val="0.6834174376436456"/>
          <c:h val="0.88892729805694459"/>
        </c:manualLayout>
      </c:layout>
      <c:scatterChart>
        <c:scatterStyle val="lineMarker"/>
        <c:ser>
          <c:idx val="0"/>
          <c:order val="0"/>
          <c:tx>
            <c:v>碳钢强度</c:v>
          </c:tx>
          <c:spPr>
            <a:ln w="28575">
              <a:noFill/>
            </a:ln>
          </c:spPr>
          <c:trendline>
            <c:trendlineType val="poly"/>
            <c:order val="4"/>
            <c:dispRSqr val="1"/>
            <c:dispEq val="1"/>
            <c:trendlineLbl>
              <c:layout>
                <c:manualLayout>
                  <c:x val="-6.4091558127825174E-2"/>
                  <c:y val="2.6460315091182542E-2"/>
                </c:manualLayout>
              </c:layout>
              <c:numFmt formatCode="#,##0.00000000000000000000_);\(#,##0.00000000000000000000\)" sourceLinked="0"/>
            </c:trendlineLbl>
          </c:trendline>
          <c:xVal>
            <c:numRef>
              <c:f>硬度与强度换算!$A$13:$A$73</c:f>
              <c:numCache>
                <c:formatCode>General</c:formatCode>
                <c:ptCount val="61"/>
                <c:pt idx="0">
                  <c:v>20</c:v>
                </c:pt>
                <c:pt idx="1">
                  <c:v>20.5</c:v>
                </c:pt>
                <c:pt idx="2">
                  <c:v>21</c:v>
                </c:pt>
                <c:pt idx="3">
                  <c:v>21.5</c:v>
                </c:pt>
                <c:pt idx="4">
                  <c:v>22</c:v>
                </c:pt>
                <c:pt idx="5">
                  <c:v>22.5</c:v>
                </c:pt>
                <c:pt idx="6">
                  <c:v>23</c:v>
                </c:pt>
                <c:pt idx="7">
                  <c:v>23.5</c:v>
                </c:pt>
                <c:pt idx="8">
                  <c:v>24</c:v>
                </c:pt>
                <c:pt idx="9">
                  <c:v>24.5</c:v>
                </c:pt>
                <c:pt idx="10">
                  <c:v>25</c:v>
                </c:pt>
                <c:pt idx="11">
                  <c:v>25.5</c:v>
                </c:pt>
                <c:pt idx="12">
                  <c:v>26</c:v>
                </c:pt>
                <c:pt idx="13">
                  <c:v>26.5</c:v>
                </c:pt>
                <c:pt idx="14">
                  <c:v>27</c:v>
                </c:pt>
                <c:pt idx="15">
                  <c:v>27.5</c:v>
                </c:pt>
                <c:pt idx="16">
                  <c:v>28</c:v>
                </c:pt>
                <c:pt idx="17">
                  <c:v>28.5</c:v>
                </c:pt>
                <c:pt idx="18">
                  <c:v>29</c:v>
                </c:pt>
                <c:pt idx="19">
                  <c:v>29.5</c:v>
                </c:pt>
                <c:pt idx="20">
                  <c:v>30</c:v>
                </c:pt>
                <c:pt idx="21">
                  <c:v>30.5</c:v>
                </c:pt>
                <c:pt idx="22">
                  <c:v>31</c:v>
                </c:pt>
                <c:pt idx="23">
                  <c:v>31.5</c:v>
                </c:pt>
                <c:pt idx="24">
                  <c:v>32</c:v>
                </c:pt>
                <c:pt idx="25">
                  <c:v>32.5</c:v>
                </c:pt>
                <c:pt idx="26">
                  <c:v>33</c:v>
                </c:pt>
                <c:pt idx="27">
                  <c:v>33.5</c:v>
                </c:pt>
                <c:pt idx="28">
                  <c:v>34</c:v>
                </c:pt>
                <c:pt idx="29">
                  <c:v>34.5</c:v>
                </c:pt>
                <c:pt idx="30">
                  <c:v>35</c:v>
                </c:pt>
                <c:pt idx="31">
                  <c:v>35.5</c:v>
                </c:pt>
                <c:pt idx="32">
                  <c:v>36</c:v>
                </c:pt>
                <c:pt idx="33">
                  <c:v>36.5</c:v>
                </c:pt>
                <c:pt idx="34">
                  <c:v>37</c:v>
                </c:pt>
                <c:pt idx="35">
                  <c:v>37.5</c:v>
                </c:pt>
                <c:pt idx="36">
                  <c:v>38</c:v>
                </c:pt>
                <c:pt idx="37">
                  <c:v>38.5</c:v>
                </c:pt>
                <c:pt idx="38">
                  <c:v>39</c:v>
                </c:pt>
                <c:pt idx="39">
                  <c:v>39.5</c:v>
                </c:pt>
                <c:pt idx="40">
                  <c:v>40</c:v>
                </c:pt>
                <c:pt idx="41">
                  <c:v>40.5</c:v>
                </c:pt>
                <c:pt idx="42">
                  <c:v>41</c:v>
                </c:pt>
                <c:pt idx="43">
                  <c:v>41.5</c:v>
                </c:pt>
                <c:pt idx="44">
                  <c:v>42</c:v>
                </c:pt>
                <c:pt idx="45">
                  <c:v>42.5</c:v>
                </c:pt>
                <c:pt idx="46">
                  <c:v>43</c:v>
                </c:pt>
                <c:pt idx="47">
                  <c:v>43.5</c:v>
                </c:pt>
                <c:pt idx="48">
                  <c:v>44</c:v>
                </c:pt>
                <c:pt idx="49">
                  <c:v>44.5</c:v>
                </c:pt>
                <c:pt idx="50">
                  <c:v>45</c:v>
                </c:pt>
                <c:pt idx="51">
                  <c:v>45.5</c:v>
                </c:pt>
                <c:pt idx="52">
                  <c:v>46</c:v>
                </c:pt>
                <c:pt idx="53">
                  <c:v>46.5</c:v>
                </c:pt>
                <c:pt idx="54">
                  <c:v>47</c:v>
                </c:pt>
                <c:pt idx="55">
                  <c:v>47.5</c:v>
                </c:pt>
                <c:pt idx="56">
                  <c:v>48</c:v>
                </c:pt>
                <c:pt idx="57">
                  <c:v>48.5</c:v>
                </c:pt>
                <c:pt idx="58">
                  <c:v>49</c:v>
                </c:pt>
                <c:pt idx="59">
                  <c:v>49.5</c:v>
                </c:pt>
                <c:pt idx="60">
                  <c:v>50</c:v>
                </c:pt>
              </c:numCache>
            </c:numRef>
          </c:xVal>
          <c:yVal>
            <c:numRef>
              <c:f>硬度与强度换算!$D$13:$D$73</c:f>
              <c:numCache>
                <c:formatCode>General</c:formatCode>
                <c:ptCount val="61"/>
                <c:pt idx="0">
                  <c:v>774</c:v>
                </c:pt>
                <c:pt idx="1">
                  <c:v>784</c:v>
                </c:pt>
                <c:pt idx="2">
                  <c:v>793</c:v>
                </c:pt>
                <c:pt idx="3">
                  <c:v>803</c:v>
                </c:pt>
                <c:pt idx="4">
                  <c:v>813</c:v>
                </c:pt>
                <c:pt idx="5">
                  <c:v>823</c:v>
                </c:pt>
                <c:pt idx="6">
                  <c:v>833</c:v>
                </c:pt>
                <c:pt idx="7">
                  <c:v>843</c:v>
                </c:pt>
                <c:pt idx="8">
                  <c:v>854</c:v>
                </c:pt>
                <c:pt idx="9">
                  <c:v>864</c:v>
                </c:pt>
                <c:pt idx="10">
                  <c:v>875</c:v>
                </c:pt>
                <c:pt idx="11">
                  <c:v>886</c:v>
                </c:pt>
                <c:pt idx="12">
                  <c:v>897</c:v>
                </c:pt>
                <c:pt idx="13">
                  <c:v>908</c:v>
                </c:pt>
                <c:pt idx="14">
                  <c:v>919</c:v>
                </c:pt>
                <c:pt idx="15">
                  <c:v>930</c:v>
                </c:pt>
                <c:pt idx="16">
                  <c:v>942</c:v>
                </c:pt>
                <c:pt idx="17">
                  <c:v>954</c:v>
                </c:pt>
                <c:pt idx="18">
                  <c:v>965</c:v>
                </c:pt>
                <c:pt idx="19">
                  <c:v>977</c:v>
                </c:pt>
                <c:pt idx="20">
                  <c:v>989</c:v>
                </c:pt>
                <c:pt idx="21">
                  <c:v>1002</c:v>
                </c:pt>
                <c:pt idx="22">
                  <c:v>1014</c:v>
                </c:pt>
                <c:pt idx="23">
                  <c:v>1027</c:v>
                </c:pt>
                <c:pt idx="24">
                  <c:v>1039</c:v>
                </c:pt>
                <c:pt idx="25">
                  <c:v>1052</c:v>
                </c:pt>
                <c:pt idx="26">
                  <c:v>1065</c:v>
                </c:pt>
                <c:pt idx="27">
                  <c:v>1078</c:v>
                </c:pt>
                <c:pt idx="28">
                  <c:v>1092</c:v>
                </c:pt>
                <c:pt idx="29">
                  <c:v>1105</c:v>
                </c:pt>
                <c:pt idx="30">
                  <c:v>1119</c:v>
                </c:pt>
                <c:pt idx="31">
                  <c:v>1133</c:v>
                </c:pt>
                <c:pt idx="32">
                  <c:v>1147</c:v>
                </c:pt>
                <c:pt idx="33">
                  <c:v>1162</c:v>
                </c:pt>
                <c:pt idx="34">
                  <c:v>1177</c:v>
                </c:pt>
                <c:pt idx="35">
                  <c:v>1192</c:v>
                </c:pt>
                <c:pt idx="36">
                  <c:v>1207</c:v>
                </c:pt>
                <c:pt idx="37">
                  <c:v>1222</c:v>
                </c:pt>
                <c:pt idx="38">
                  <c:v>1238</c:v>
                </c:pt>
                <c:pt idx="39">
                  <c:v>1254</c:v>
                </c:pt>
                <c:pt idx="40">
                  <c:v>1271</c:v>
                </c:pt>
                <c:pt idx="41">
                  <c:v>1288</c:v>
                </c:pt>
                <c:pt idx="42">
                  <c:v>1305</c:v>
                </c:pt>
                <c:pt idx="43">
                  <c:v>1322</c:v>
                </c:pt>
                <c:pt idx="44">
                  <c:v>1340</c:v>
                </c:pt>
                <c:pt idx="45">
                  <c:v>1359</c:v>
                </c:pt>
                <c:pt idx="46">
                  <c:v>1378</c:v>
                </c:pt>
                <c:pt idx="47">
                  <c:v>1397</c:v>
                </c:pt>
                <c:pt idx="48">
                  <c:v>1417</c:v>
                </c:pt>
                <c:pt idx="49">
                  <c:v>1438</c:v>
                </c:pt>
                <c:pt idx="50">
                  <c:v>1459</c:v>
                </c:pt>
                <c:pt idx="51">
                  <c:v>1481</c:v>
                </c:pt>
                <c:pt idx="52">
                  <c:v>1503</c:v>
                </c:pt>
                <c:pt idx="53">
                  <c:v>1526</c:v>
                </c:pt>
                <c:pt idx="54">
                  <c:v>1550</c:v>
                </c:pt>
                <c:pt idx="55">
                  <c:v>1575</c:v>
                </c:pt>
                <c:pt idx="56">
                  <c:v>1600</c:v>
                </c:pt>
                <c:pt idx="57">
                  <c:v>1626</c:v>
                </c:pt>
                <c:pt idx="58">
                  <c:v>1653</c:v>
                </c:pt>
                <c:pt idx="59">
                  <c:v>1681</c:v>
                </c:pt>
                <c:pt idx="60">
                  <c:v>1710</c:v>
                </c:pt>
              </c:numCache>
            </c:numRef>
          </c:yVal>
        </c:ser>
        <c:ser>
          <c:idx val="1"/>
          <c:order val="1"/>
          <c:tx>
            <c:v>不锈钢强度</c:v>
          </c:tx>
          <c:spPr>
            <a:ln w="28575">
              <a:noFill/>
            </a:ln>
          </c:spPr>
          <c:trendline>
            <c:trendlineType val="poly"/>
            <c:order val="4"/>
            <c:dispRSqr val="1"/>
            <c:dispEq val="1"/>
            <c:trendlineLbl>
              <c:layout>
                <c:manualLayout>
                  <c:x val="0.20613174188628294"/>
                  <c:y val="0.66106156220920065"/>
                </c:manualLayout>
              </c:layout>
              <c:numFmt formatCode="#,##0.00000000000000000000_);\(#,##0.00000000000000000000\)" sourceLinked="0"/>
            </c:trendlineLbl>
          </c:trendline>
          <c:xVal>
            <c:numRef>
              <c:f>硬度与强度换算!$A$13:$A$73</c:f>
              <c:numCache>
                <c:formatCode>General</c:formatCode>
                <c:ptCount val="61"/>
                <c:pt idx="0">
                  <c:v>20</c:v>
                </c:pt>
                <c:pt idx="1">
                  <c:v>20.5</c:v>
                </c:pt>
                <c:pt idx="2">
                  <c:v>21</c:v>
                </c:pt>
                <c:pt idx="3">
                  <c:v>21.5</c:v>
                </c:pt>
                <c:pt idx="4">
                  <c:v>22</c:v>
                </c:pt>
                <c:pt idx="5">
                  <c:v>22.5</c:v>
                </c:pt>
                <c:pt idx="6">
                  <c:v>23</c:v>
                </c:pt>
                <c:pt idx="7">
                  <c:v>23.5</c:v>
                </c:pt>
                <c:pt idx="8">
                  <c:v>24</c:v>
                </c:pt>
                <c:pt idx="9">
                  <c:v>24.5</c:v>
                </c:pt>
                <c:pt idx="10">
                  <c:v>25</c:v>
                </c:pt>
                <c:pt idx="11">
                  <c:v>25.5</c:v>
                </c:pt>
                <c:pt idx="12">
                  <c:v>26</c:v>
                </c:pt>
                <c:pt idx="13">
                  <c:v>26.5</c:v>
                </c:pt>
                <c:pt idx="14">
                  <c:v>27</c:v>
                </c:pt>
                <c:pt idx="15">
                  <c:v>27.5</c:v>
                </c:pt>
                <c:pt idx="16">
                  <c:v>28</c:v>
                </c:pt>
                <c:pt idx="17">
                  <c:v>28.5</c:v>
                </c:pt>
                <c:pt idx="18">
                  <c:v>29</c:v>
                </c:pt>
                <c:pt idx="19">
                  <c:v>29.5</c:v>
                </c:pt>
                <c:pt idx="20">
                  <c:v>30</c:v>
                </c:pt>
                <c:pt idx="21">
                  <c:v>30.5</c:v>
                </c:pt>
                <c:pt idx="22">
                  <c:v>31</c:v>
                </c:pt>
                <c:pt idx="23">
                  <c:v>31.5</c:v>
                </c:pt>
                <c:pt idx="24">
                  <c:v>32</c:v>
                </c:pt>
                <c:pt idx="25">
                  <c:v>32.5</c:v>
                </c:pt>
                <c:pt idx="26">
                  <c:v>33</c:v>
                </c:pt>
                <c:pt idx="27">
                  <c:v>33.5</c:v>
                </c:pt>
                <c:pt idx="28">
                  <c:v>34</c:v>
                </c:pt>
                <c:pt idx="29">
                  <c:v>34.5</c:v>
                </c:pt>
                <c:pt idx="30">
                  <c:v>35</c:v>
                </c:pt>
                <c:pt idx="31">
                  <c:v>35.5</c:v>
                </c:pt>
                <c:pt idx="32">
                  <c:v>36</c:v>
                </c:pt>
                <c:pt idx="33">
                  <c:v>36.5</c:v>
                </c:pt>
                <c:pt idx="34">
                  <c:v>37</c:v>
                </c:pt>
                <c:pt idx="35">
                  <c:v>37.5</c:v>
                </c:pt>
                <c:pt idx="36">
                  <c:v>38</c:v>
                </c:pt>
                <c:pt idx="37">
                  <c:v>38.5</c:v>
                </c:pt>
                <c:pt idx="38">
                  <c:v>39</c:v>
                </c:pt>
                <c:pt idx="39">
                  <c:v>39.5</c:v>
                </c:pt>
                <c:pt idx="40">
                  <c:v>40</c:v>
                </c:pt>
                <c:pt idx="41">
                  <c:v>40.5</c:v>
                </c:pt>
                <c:pt idx="42">
                  <c:v>41</c:v>
                </c:pt>
                <c:pt idx="43">
                  <c:v>41.5</c:v>
                </c:pt>
                <c:pt idx="44">
                  <c:v>42</c:v>
                </c:pt>
                <c:pt idx="45">
                  <c:v>42.5</c:v>
                </c:pt>
                <c:pt idx="46">
                  <c:v>43</c:v>
                </c:pt>
                <c:pt idx="47">
                  <c:v>43.5</c:v>
                </c:pt>
                <c:pt idx="48">
                  <c:v>44</c:v>
                </c:pt>
                <c:pt idx="49">
                  <c:v>44.5</c:v>
                </c:pt>
                <c:pt idx="50">
                  <c:v>45</c:v>
                </c:pt>
                <c:pt idx="51">
                  <c:v>45.5</c:v>
                </c:pt>
                <c:pt idx="52">
                  <c:v>46</c:v>
                </c:pt>
                <c:pt idx="53">
                  <c:v>46.5</c:v>
                </c:pt>
                <c:pt idx="54">
                  <c:v>47</c:v>
                </c:pt>
                <c:pt idx="55">
                  <c:v>47.5</c:v>
                </c:pt>
                <c:pt idx="56">
                  <c:v>48</c:v>
                </c:pt>
                <c:pt idx="57">
                  <c:v>48.5</c:v>
                </c:pt>
                <c:pt idx="58">
                  <c:v>49</c:v>
                </c:pt>
                <c:pt idx="59">
                  <c:v>49.5</c:v>
                </c:pt>
                <c:pt idx="60">
                  <c:v>50</c:v>
                </c:pt>
              </c:numCache>
            </c:numRef>
          </c:xVal>
          <c:yVal>
            <c:numRef>
              <c:f>硬度与强度换算!$E$13:$E$73</c:f>
              <c:numCache>
                <c:formatCode>General</c:formatCode>
                <c:ptCount val="61"/>
                <c:pt idx="0">
                  <c:v>740</c:v>
                </c:pt>
                <c:pt idx="1">
                  <c:v>749</c:v>
                </c:pt>
                <c:pt idx="2">
                  <c:v>758</c:v>
                </c:pt>
                <c:pt idx="3">
                  <c:v>767</c:v>
                </c:pt>
                <c:pt idx="4">
                  <c:v>777</c:v>
                </c:pt>
                <c:pt idx="5">
                  <c:v>786</c:v>
                </c:pt>
                <c:pt idx="6">
                  <c:v>796</c:v>
                </c:pt>
                <c:pt idx="7">
                  <c:v>806</c:v>
                </c:pt>
                <c:pt idx="8">
                  <c:v>816</c:v>
                </c:pt>
                <c:pt idx="9">
                  <c:v>826</c:v>
                </c:pt>
                <c:pt idx="10">
                  <c:v>837</c:v>
                </c:pt>
                <c:pt idx="11">
                  <c:v>847</c:v>
                </c:pt>
                <c:pt idx="12">
                  <c:v>858</c:v>
                </c:pt>
                <c:pt idx="13">
                  <c:v>868</c:v>
                </c:pt>
                <c:pt idx="14">
                  <c:v>879</c:v>
                </c:pt>
                <c:pt idx="15">
                  <c:v>890</c:v>
                </c:pt>
                <c:pt idx="16">
                  <c:v>901</c:v>
                </c:pt>
                <c:pt idx="17">
                  <c:v>913</c:v>
                </c:pt>
                <c:pt idx="18">
                  <c:v>924</c:v>
                </c:pt>
                <c:pt idx="19">
                  <c:v>936</c:v>
                </c:pt>
                <c:pt idx="20">
                  <c:v>947</c:v>
                </c:pt>
                <c:pt idx="21">
                  <c:v>959</c:v>
                </c:pt>
                <c:pt idx="22">
                  <c:v>971</c:v>
                </c:pt>
                <c:pt idx="23">
                  <c:v>983</c:v>
                </c:pt>
                <c:pt idx="24">
                  <c:v>996</c:v>
                </c:pt>
                <c:pt idx="25">
                  <c:v>1008</c:v>
                </c:pt>
                <c:pt idx="26">
                  <c:v>1021</c:v>
                </c:pt>
                <c:pt idx="27">
                  <c:v>1034</c:v>
                </c:pt>
                <c:pt idx="28">
                  <c:v>1047</c:v>
                </c:pt>
                <c:pt idx="29">
                  <c:v>1060</c:v>
                </c:pt>
                <c:pt idx="30">
                  <c:v>1074</c:v>
                </c:pt>
                <c:pt idx="31">
                  <c:v>1087</c:v>
                </c:pt>
                <c:pt idx="32">
                  <c:v>1101</c:v>
                </c:pt>
                <c:pt idx="33">
                  <c:v>1116</c:v>
                </c:pt>
                <c:pt idx="34">
                  <c:v>1130</c:v>
                </c:pt>
                <c:pt idx="35">
                  <c:v>1145</c:v>
                </c:pt>
                <c:pt idx="36">
                  <c:v>1161</c:v>
                </c:pt>
                <c:pt idx="37">
                  <c:v>1176</c:v>
                </c:pt>
                <c:pt idx="38">
                  <c:v>1193</c:v>
                </c:pt>
                <c:pt idx="39">
                  <c:v>1209</c:v>
                </c:pt>
                <c:pt idx="40">
                  <c:v>1226</c:v>
                </c:pt>
                <c:pt idx="41">
                  <c:v>1244</c:v>
                </c:pt>
                <c:pt idx="42">
                  <c:v>1262</c:v>
                </c:pt>
                <c:pt idx="43">
                  <c:v>1280</c:v>
                </c:pt>
                <c:pt idx="44">
                  <c:v>1299</c:v>
                </c:pt>
                <c:pt idx="45">
                  <c:v>1319</c:v>
                </c:pt>
                <c:pt idx="46">
                  <c:v>1339</c:v>
                </c:pt>
                <c:pt idx="47">
                  <c:v>1361</c:v>
                </c:pt>
                <c:pt idx="48">
                  <c:v>1383</c:v>
                </c:pt>
                <c:pt idx="49">
                  <c:v>1405</c:v>
                </c:pt>
                <c:pt idx="50">
                  <c:v>1429</c:v>
                </c:pt>
                <c:pt idx="51">
                  <c:v>1453</c:v>
                </c:pt>
                <c:pt idx="52">
                  <c:v>1479</c:v>
                </c:pt>
                <c:pt idx="53">
                  <c:v>1505</c:v>
                </c:pt>
                <c:pt idx="54">
                  <c:v>1533</c:v>
                </c:pt>
                <c:pt idx="55">
                  <c:v>1562</c:v>
                </c:pt>
                <c:pt idx="56">
                  <c:v>1592</c:v>
                </c:pt>
                <c:pt idx="57">
                  <c:v>1623</c:v>
                </c:pt>
                <c:pt idx="58">
                  <c:v>1655</c:v>
                </c:pt>
                <c:pt idx="59">
                  <c:v>1689</c:v>
                </c:pt>
                <c:pt idx="60">
                  <c:v>1725</c:v>
                </c:pt>
              </c:numCache>
            </c:numRef>
          </c:yVal>
        </c:ser>
        <c:axId val="110389120"/>
        <c:axId val="110390656"/>
      </c:scatterChart>
      <c:valAx>
        <c:axId val="110389120"/>
        <c:scaling>
          <c:orientation val="minMax"/>
          <c:max val="51"/>
          <c:min val="20"/>
        </c:scaling>
        <c:axPos val="b"/>
        <c:numFmt formatCode="General" sourceLinked="1"/>
        <c:tickLblPos val="nextTo"/>
        <c:crossAx val="110390656"/>
        <c:crosses val="autoZero"/>
        <c:crossBetween val="midCat"/>
        <c:majorUnit val="5"/>
      </c:valAx>
      <c:valAx>
        <c:axId val="110390656"/>
        <c:scaling>
          <c:orientation val="minMax"/>
          <c:max val="1800"/>
          <c:min val="720"/>
        </c:scaling>
        <c:axPos val="l"/>
        <c:majorGridlines/>
        <c:numFmt formatCode="General" sourceLinked="1"/>
        <c:tickLblPos val="nextTo"/>
        <c:crossAx val="110389120"/>
        <c:crosses val="autoZero"/>
        <c:crossBetween val="midCat"/>
        <c:majorUnit val="100"/>
      </c:valAx>
    </c:plotArea>
    <c:legend>
      <c:legendPos val="r"/>
    </c:legend>
    <c:plotVisOnly val="1"/>
  </c:chart>
  <c:printSettings>
    <c:headerFooter/>
    <c:pageMargins b="0.75000000000000899" l="0.70000000000000062" r="0.70000000000000062" t="0.75000000000000899"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hyperlink" Target="#&#30446;&#24405;!A1"/><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drawing4.xml.rels><?xml version="1.0" encoding="UTF-8" standalone="yes"?>
<Relationships xmlns="http://schemas.openxmlformats.org/package/2006/relationships"><Relationship Id="rId8" Type="http://schemas.openxmlformats.org/officeDocument/2006/relationships/image" Target="../media/image36.png"/><Relationship Id="rId3" Type="http://schemas.openxmlformats.org/officeDocument/2006/relationships/image" Target="../media/image31.png"/><Relationship Id="rId7" Type="http://schemas.openxmlformats.org/officeDocument/2006/relationships/image" Target="../media/image35.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hyperlink" Target="#&#30446;&#24405;!A1"/><Relationship Id="rId5" Type="http://schemas.openxmlformats.org/officeDocument/2006/relationships/image" Target="../media/image33.png"/><Relationship Id="rId10" Type="http://schemas.openxmlformats.org/officeDocument/2006/relationships/image" Target="../media/image38.png"/><Relationship Id="rId4" Type="http://schemas.openxmlformats.org/officeDocument/2006/relationships/image" Target="../media/image32.png"/><Relationship Id="rId9" Type="http://schemas.openxmlformats.org/officeDocument/2006/relationships/image" Target="../media/image37.png"/></Relationships>
</file>

<file path=xl/drawings/_rels/drawing5.xml.rels><?xml version="1.0" encoding="UTF-8" standalone="yes"?>
<Relationships xmlns="http://schemas.openxmlformats.org/package/2006/relationships"><Relationship Id="rId8" Type="http://schemas.openxmlformats.org/officeDocument/2006/relationships/hyperlink" Target="#&#30446;&#24405;!A1"/><Relationship Id="rId3" Type="http://schemas.openxmlformats.org/officeDocument/2006/relationships/image" Target="../media/image31.png"/><Relationship Id="rId7" Type="http://schemas.openxmlformats.org/officeDocument/2006/relationships/image" Target="../media/image35.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drawings/_rels/drawing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50.png"/></Relationships>
</file>

<file path=xl/drawings/_rels/drawing7.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56.png"/></Relationships>
</file>

<file path=xl/drawings/_rels/drawing8.xml.rels><?xml version="1.0" encoding="UTF-8" standalone="yes"?>
<Relationships xmlns="http://schemas.openxmlformats.org/package/2006/relationships"><Relationship Id="rId8" Type="http://schemas.openxmlformats.org/officeDocument/2006/relationships/hyperlink" Target="#&#30446;&#24405;!A1"/><Relationship Id="rId3" Type="http://schemas.openxmlformats.org/officeDocument/2006/relationships/image" Target="../media/image59.jpeg"/><Relationship Id="rId7" Type="http://schemas.openxmlformats.org/officeDocument/2006/relationships/image" Target="../media/image63.png"/><Relationship Id="rId2" Type="http://schemas.openxmlformats.org/officeDocument/2006/relationships/image" Target="../media/image58.png"/><Relationship Id="rId1" Type="http://schemas.openxmlformats.org/officeDocument/2006/relationships/image" Target="../media/image57.png"/><Relationship Id="rId6" Type="http://schemas.openxmlformats.org/officeDocument/2006/relationships/image" Target="../media/image62.png"/><Relationship Id="rId5" Type="http://schemas.openxmlformats.org/officeDocument/2006/relationships/image" Target="../media/image61.png"/><Relationship Id="rId4" Type="http://schemas.openxmlformats.org/officeDocument/2006/relationships/image" Target="../media/image60.png"/></Relationships>
</file>

<file path=xl/drawings/_rels/drawing9.xml.rels><?xml version="1.0" encoding="UTF-8" standalone="yes"?>
<Relationships xmlns="http://schemas.openxmlformats.org/package/2006/relationships"><Relationship Id="rId3" Type="http://schemas.openxmlformats.org/officeDocument/2006/relationships/image" Target="../media/image73.png"/><Relationship Id="rId2" Type="http://schemas.openxmlformats.org/officeDocument/2006/relationships/image" Target="../media/image72.png"/><Relationship Id="rId1" Type="http://schemas.openxmlformats.org/officeDocument/2006/relationships/image" Target="../media/image71.png"/><Relationship Id="rId5" Type="http://schemas.openxmlformats.org/officeDocument/2006/relationships/hyperlink" Target="#&#30446;&#24405;!A1"/><Relationship Id="rId4" Type="http://schemas.openxmlformats.org/officeDocument/2006/relationships/image" Target="../media/image7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83.png"/><Relationship Id="rId13" Type="http://schemas.openxmlformats.org/officeDocument/2006/relationships/image" Target="../media/image88.png"/><Relationship Id="rId18" Type="http://schemas.openxmlformats.org/officeDocument/2006/relationships/hyperlink" Target="#&#30446;&#24405;!A1"/><Relationship Id="rId3" Type="http://schemas.openxmlformats.org/officeDocument/2006/relationships/image" Target="../media/image78.png"/><Relationship Id="rId7" Type="http://schemas.openxmlformats.org/officeDocument/2006/relationships/image" Target="../media/image82.png"/><Relationship Id="rId12" Type="http://schemas.openxmlformats.org/officeDocument/2006/relationships/image" Target="../media/image87.png"/><Relationship Id="rId17" Type="http://schemas.openxmlformats.org/officeDocument/2006/relationships/image" Target="../media/image92.png"/><Relationship Id="rId2" Type="http://schemas.openxmlformats.org/officeDocument/2006/relationships/image" Target="../media/image77.png"/><Relationship Id="rId16" Type="http://schemas.openxmlformats.org/officeDocument/2006/relationships/image" Target="../media/image91.png"/><Relationship Id="rId1" Type="http://schemas.openxmlformats.org/officeDocument/2006/relationships/image" Target="../media/image76.jpeg"/><Relationship Id="rId6" Type="http://schemas.openxmlformats.org/officeDocument/2006/relationships/image" Target="../media/image81.png"/><Relationship Id="rId11" Type="http://schemas.openxmlformats.org/officeDocument/2006/relationships/image" Target="../media/image86.png"/><Relationship Id="rId5" Type="http://schemas.openxmlformats.org/officeDocument/2006/relationships/image" Target="../media/image80.png"/><Relationship Id="rId15" Type="http://schemas.openxmlformats.org/officeDocument/2006/relationships/image" Target="../media/image90.png"/><Relationship Id="rId10" Type="http://schemas.openxmlformats.org/officeDocument/2006/relationships/image" Target="../media/image85.png"/><Relationship Id="rId4" Type="http://schemas.openxmlformats.org/officeDocument/2006/relationships/image" Target="../media/image79.png"/><Relationship Id="rId9" Type="http://schemas.openxmlformats.org/officeDocument/2006/relationships/image" Target="../media/image84.png"/><Relationship Id="rId14" Type="http://schemas.openxmlformats.org/officeDocument/2006/relationships/image" Target="../media/image8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95.png"/><Relationship Id="rId2" Type="http://schemas.openxmlformats.org/officeDocument/2006/relationships/image" Target="../media/image94.png"/><Relationship Id="rId1" Type="http://schemas.openxmlformats.org/officeDocument/2006/relationships/image" Target="../media/image93.png"/><Relationship Id="rId6" Type="http://schemas.openxmlformats.org/officeDocument/2006/relationships/hyperlink" Target="#&#30446;&#24405;!A1"/><Relationship Id="rId5" Type="http://schemas.openxmlformats.org/officeDocument/2006/relationships/image" Target="../media/image97.png"/><Relationship Id="rId4" Type="http://schemas.openxmlformats.org/officeDocument/2006/relationships/image" Target="../media/image96.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05.png"/><Relationship Id="rId13" Type="http://schemas.openxmlformats.org/officeDocument/2006/relationships/image" Target="../media/image110.png"/><Relationship Id="rId18" Type="http://schemas.openxmlformats.org/officeDocument/2006/relationships/image" Target="../media/image115.png"/><Relationship Id="rId3" Type="http://schemas.openxmlformats.org/officeDocument/2006/relationships/image" Target="../media/image100.png"/><Relationship Id="rId7" Type="http://schemas.openxmlformats.org/officeDocument/2006/relationships/image" Target="../media/image104.png"/><Relationship Id="rId12" Type="http://schemas.openxmlformats.org/officeDocument/2006/relationships/image" Target="../media/image109.png"/><Relationship Id="rId17" Type="http://schemas.openxmlformats.org/officeDocument/2006/relationships/image" Target="../media/image114.png"/><Relationship Id="rId2" Type="http://schemas.openxmlformats.org/officeDocument/2006/relationships/image" Target="../media/image99.png"/><Relationship Id="rId16" Type="http://schemas.openxmlformats.org/officeDocument/2006/relationships/image" Target="../media/image113.png"/><Relationship Id="rId1" Type="http://schemas.openxmlformats.org/officeDocument/2006/relationships/image" Target="../media/image98.png"/><Relationship Id="rId6" Type="http://schemas.openxmlformats.org/officeDocument/2006/relationships/image" Target="../media/image103.png"/><Relationship Id="rId11" Type="http://schemas.openxmlformats.org/officeDocument/2006/relationships/image" Target="../media/image108.png"/><Relationship Id="rId5" Type="http://schemas.openxmlformats.org/officeDocument/2006/relationships/image" Target="../media/image102.png"/><Relationship Id="rId15" Type="http://schemas.openxmlformats.org/officeDocument/2006/relationships/image" Target="../media/image112.png"/><Relationship Id="rId10" Type="http://schemas.openxmlformats.org/officeDocument/2006/relationships/image" Target="../media/image107.png"/><Relationship Id="rId19" Type="http://schemas.openxmlformats.org/officeDocument/2006/relationships/hyperlink" Target="#&#30446;&#24405;!A1"/><Relationship Id="rId4" Type="http://schemas.openxmlformats.org/officeDocument/2006/relationships/image" Target="../media/image101.png"/><Relationship Id="rId9" Type="http://schemas.openxmlformats.org/officeDocument/2006/relationships/image" Target="../media/image106.png"/><Relationship Id="rId14" Type="http://schemas.openxmlformats.org/officeDocument/2006/relationships/image" Target="../media/image111.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19.png"/><Relationship Id="rId13" Type="http://schemas.openxmlformats.org/officeDocument/2006/relationships/image" Target="../media/image124.png"/><Relationship Id="rId18" Type="http://schemas.openxmlformats.org/officeDocument/2006/relationships/image" Target="../media/image129.png"/><Relationship Id="rId3" Type="http://schemas.openxmlformats.org/officeDocument/2006/relationships/image" Target="../media/image113.png"/><Relationship Id="rId21" Type="http://schemas.openxmlformats.org/officeDocument/2006/relationships/image" Target="../media/image132.png"/><Relationship Id="rId7" Type="http://schemas.openxmlformats.org/officeDocument/2006/relationships/image" Target="../media/image118.png"/><Relationship Id="rId12" Type="http://schemas.openxmlformats.org/officeDocument/2006/relationships/image" Target="../media/image123.png"/><Relationship Id="rId17" Type="http://schemas.openxmlformats.org/officeDocument/2006/relationships/image" Target="../media/image128.png"/><Relationship Id="rId2" Type="http://schemas.openxmlformats.org/officeDocument/2006/relationships/image" Target="../media/image112.png"/><Relationship Id="rId16" Type="http://schemas.openxmlformats.org/officeDocument/2006/relationships/image" Target="../media/image127.png"/><Relationship Id="rId20" Type="http://schemas.openxmlformats.org/officeDocument/2006/relationships/image" Target="../media/image131.png"/><Relationship Id="rId1" Type="http://schemas.openxmlformats.org/officeDocument/2006/relationships/image" Target="../media/image111.png"/><Relationship Id="rId6" Type="http://schemas.openxmlformats.org/officeDocument/2006/relationships/image" Target="../media/image117.png"/><Relationship Id="rId11" Type="http://schemas.openxmlformats.org/officeDocument/2006/relationships/image" Target="../media/image122.png"/><Relationship Id="rId24" Type="http://schemas.openxmlformats.org/officeDocument/2006/relationships/hyperlink" Target="#&#30446;&#24405;!A1"/><Relationship Id="rId5" Type="http://schemas.openxmlformats.org/officeDocument/2006/relationships/image" Target="../media/image116.png"/><Relationship Id="rId15" Type="http://schemas.openxmlformats.org/officeDocument/2006/relationships/image" Target="../media/image126.png"/><Relationship Id="rId23" Type="http://schemas.openxmlformats.org/officeDocument/2006/relationships/image" Target="../media/image134.png"/><Relationship Id="rId10" Type="http://schemas.openxmlformats.org/officeDocument/2006/relationships/image" Target="../media/image121.png"/><Relationship Id="rId19" Type="http://schemas.openxmlformats.org/officeDocument/2006/relationships/image" Target="../media/image130.png"/><Relationship Id="rId4" Type="http://schemas.openxmlformats.org/officeDocument/2006/relationships/image" Target="../media/image114.png"/><Relationship Id="rId9" Type="http://schemas.openxmlformats.org/officeDocument/2006/relationships/image" Target="../media/image120.png"/><Relationship Id="rId14" Type="http://schemas.openxmlformats.org/officeDocument/2006/relationships/image" Target="../media/image125.png"/><Relationship Id="rId22" Type="http://schemas.openxmlformats.org/officeDocument/2006/relationships/image" Target="../media/image133.png"/></Relationships>
</file>

<file path=xl/drawings/_rels/drawing14.xml.rels><?xml version="1.0" encoding="UTF-8" standalone="yes"?>
<Relationships xmlns="http://schemas.openxmlformats.org/package/2006/relationships"><Relationship Id="rId8" Type="http://schemas.openxmlformats.org/officeDocument/2006/relationships/image" Target="../media/image142.png"/><Relationship Id="rId13" Type="http://schemas.openxmlformats.org/officeDocument/2006/relationships/image" Target="../media/image147.png"/><Relationship Id="rId3" Type="http://schemas.openxmlformats.org/officeDocument/2006/relationships/image" Target="../media/image137.png"/><Relationship Id="rId7" Type="http://schemas.openxmlformats.org/officeDocument/2006/relationships/image" Target="../media/image141.png"/><Relationship Id="rId12" Type="http://schemas.openxmlformats.org/officeDocument/2006/relationships/image" Target="../media/image146.png"/><Relationship Id="rId2" Type="http://schemas.openxmlformats.org/officeDocument/2006/relationships/image" Target="../media/image136.png"/><Relationship Id="rId16" Type="http://schemas.openxmlformats.org/officeDocument/2006/relationships/hyperlink" Target="#&#30446;&#24405;!A1"/><Relationship Id="rId1" Type="http://schemas.openxmlformats.org/officeDocument/2006/relationships/image" Target="../media/image135.png"/><Relationship Id="rId6" Type="http://schemas.openxmlformats.org/officeDocument/2006/relationships/image" Target="../media/image140.png"/><Relationship Id="rId11" Type="http://schemas.openxmlformats.org/officeDocument/2006/relationships/image" Target="../media/image145.png"/><Relationship Id="rId5" Type="http://schemas.openxmlformats.org/officeDocument/2006/relationships/image" Target="../media/image139.png"/><Relationship Id="rId15" Type="http://schemas.openxmlformats.org/officeDocument/2006/relationships/image" Target="../media/image149.png"/><Relationship Id="rId10" Type="http://schemas.openxmlformats.org/officeDocument/2006/relationships/image" Target="../media/image144.png"/><Relationship Id="rId4" Type="http://schemas.openxmlformats.org/officeDocument/2006/relationships/image" Target="../media/image138.png"/><Relationship Id="rId9" Type="http://schemas.openxmlformats.org/officeDocument/2006/relationships/image" Target="../media/image143.png"/><Relationship Id="rId14" Type="http://schemas.openxmlformats.org/officeDocument/2006/relationships/image" Target="../media/image148.png"/></Relationships>
</file>

<file path=xl/drawings/_rels/drawing15.xml.rels><?xml version="1.0" encoding="UTF-8" standalone="yes"?>
<Relationships xmlns="http://schemas.openxmlformats.org/package/2006/relationships"><Relationship Id="rId8" Type="http://schemas.openxmlformats.org/officeDocument/2006/relationships/image" Target="../media/image157.png"/><Relationship Id="rId3" Type="http://schemas.openxmlformats.org/officeDocument/2006/relationships/image" Target="../media/image152.png"/><Relationship Id="rId7" Type="http://schemas.openxmlformats.org/officeDocument/2006/relationships/image" Target="../media/image156.png"/><Relationship Id="rId2" Type="http://schemas.openxmlformats.org/officeDocument/2006/relationships/image" Target="../media/image151.png"/><Relationship Id="rId1" Type="http://schemas.openxmlformats.org/officeDocument/2006/relationships/image" Target="../media/image150.jpeg"/><Relationship Id="rId6" Type="http://schemas.openxmlformats.org/officeDocument/2006/relationships/image" Target="../media/image155.png"/><Relationship Id="rId5" Type="http://schemas.openxmlformats.org/officeDocument/2006/relationships/image" Target="../media/image154.png"/><Relationship Id="rId10" Type="http://schemas.openxmlformats.org/officeDocument/2006/relationships/hyperlink" Target="#&#30446;&#24405;!A1"/><Relationship Id="rId4" Type="http://schemas.openxmlformats.org/officeDocument/2006/relationships/image" Target="../media/image153.png"/><Relationship Id="rId9" Type="http://schemas.openxmlformats.org/officeDocument/2006/relationships/image" Target="../media/image158.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66.png"/><Relationship Id="rId3" Type="http://schemas.openxmlformats.org/officeDocument/2006/relationships/image" Target="../media/image161.jpeg"/><Relationship Id="rId7" Type="http://schemas.openxmlformats.org/officeDocument/2006/relationships/image" Target="../media/image165.png"/><Relationship Id="rId2" Type="http://schemas.openxmlformats.org/officeDocument/2006/relationships/image" Target="../media/image160.png"/><Relationship Id="rId1" Type="http://schemas.openxmlformats.org/officeDocument/2006/relationships/image" Target="../media/image159.png"/><Relationship Id="rId6" Type="http://schemas.openxmlformats.org/officeDocument/2006/relationships/image" Target="../media/image164.png"/><Relationship Id="rId5" Type="http://schemas.openxmlformats.org/officeDocument/2006/relationships/image" Target="../media/image163.png"/><Relationship Id="rId10" Type="http://schemas.openxmlformats.org/officeDocument/2006/relationships/hyperlink" Target="#&#30446;&#24405;!A1"/><Relationship Id="rId4" Type="http://schemas.openxmlformats.org/officeDocument/2006/relationships/image" Target="../media/image162.png"/><Relationship Id="rId9" Type="http://schemas.openxmlformats.org/officeDocument/2006/relationships/image" Target="../media/image167.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75.png"/><Relationship Id="rId3" Type="http://schemas.openxmlformats.org/officeDocument/2006/relationships/image" Target="../media/image170.png"/><Relationship Id="rId7" Type="http://schemas.openxmlformats.org/officeDocument/2006/relationships/image" Target="../media/image174.png"/><Relationship Id="rId2" Type="http://schemas.openxmlformats.org/officeDocument/2006/relationships/image" Target="../media/image169.png"/><Relationship Id="rId1" Type="http://schemas.openxmlformats.org/officeDocument/2006/relationships/image" Target="../media/image168.png"/><Relationship Id="rId6" Type="http://schemas.openxmlformats.org/officeDocument/2006/relationships/image" Target="../media/image173.png"/><Relationship Id="rId5" Type="http://schemas.openxmlformats.org/officeDocument/2006/relationships/image" Target="../media/image172.png"/><Relationship Id="rId10" Type="http://schemas.openxmlformats.org/officeDocument/2006/relationships/hyperlink" Target="#&#30446;&#24405;!A1"/><Relationship Id="rId4" Type="http://schemas.openxmlformats.org/officeDocument/2006/relationships/image" Target="../media/image171.png"/><Relationship Id="rId9" Type="http://schemas.openxmlformats.org/officeDocument/2006/relationships/image" Target="../media/image176.png"/></Relationships>
</file>

<file path=xl/drawings/_rels/drawing18.xml.rels><?xml version="1.0" encoding="UTF-8" standalone="yes"?>
<Relationships xmlns="http://schemas.openxmlformats.org/package/2006/relationships"><Relationship Id="rId8" Type="http://schemas.openxmlformats.org/officeDocument/2006/relationships/image" Target="../media/image184.png"/><Relationship Id="rId13" Type="http://schemas.openxmlformats.org/officeDocument/2006/relationships/image" Target="../media/image189.png"/><Relationship Id="rId3" Type="http://schemas.openxmlformats.org/officeDocument/2006/relationships/image" Target="../media/image179.png"/><Relationship Id="rId7" Type="http://schemas.openxmlformats.org/officeDocument/2006/relationships/image" Target="../media/image183.png"/><Relationship Id="rId12" Type="http://schemas.openxmlformats.org/officeDocument/2006/relationships/image" Target="../media/image188.png"/><Relationship Id="rId17" Type="http://schemas.openxmlformats.org/officeDocument/2006/relationships/hyperlink" Target="#&#30446;&#24405;!A1"/><Relationship Id="rId2" Type="http://schemas.openxmlformats.org/officeDocument/2006/relationships/image" Target="../media/image178.png"/><Relationship Id="rId16" Type="http://schemas.openxmlformats.org/officeDocument/2006/relationships/image" Target="../media/image192.png"/><Relationship Id="rId1" Type="http://schemas.openxmlformats.org/officeDocument/2006/relationships/image" Target="../media/image177.png"/><Relationship Id="rId6" Type="http://schemas.openxmlformats.org/officeDocument/2006/relationships/image" Target="../media/image182.png"/><Relationship Id="rId11" Type="http://schemas.openxmlformats.org/officeDocument/2006/relationships/image" Target="../media/image187.png"/><Relationship Id="rId5" Type="http://schemas.openxmlformats.org/officeDocument/2006/relationships/image" Target="../media/image181.png"/><Relationship Id="rId15" Type="http://schemas.openxmlformats.org/officeDocument/2006/relationships/image" Target="../media/image191.png"/><Relationship Id="rId10" Type="http://schemas.openxmlformats.org/officeDocument/2006/relationships/image" Target="../media/image186.png"/><Relationship Id="rId4" Type="http://schemas.openxmlformats.org/officeDocument/2006/relationships/image" Target="../media/image180.png"/><Relationship Id="rId9" Type="http://schemas.openxmlformats.org/officeDocument/2006/relationships/image" Target="../media/image185.png"/><Relationship Id="rId14" Type="http://schemas.openxmlformats.org/officeDocument/2006/relationships/image" Target="../media/image190.png"/></Relationships>
</file>

<file path=xl/drawings/_rels/drawing19.xml.rels><?xml version="1.0" encoding="UTF-8" standalone="yes"?>
<Relationships xmlns="http://schemas.openxmlformats.org/package/2006/relationships"><Relationship Id="rId8" Type="http://schemas.openxmlformats.org/officeDocument/2006/relationships/image" Target="../media/image200.png"/><Relationship Id="rId13" Type="http://schemas.openxmlformats.org/officeDocument/2006/relationships/image" Target="../media/image205.png"/><Relationship Id="rId3" Type="http://schemas.openxmlformats.org/officeDocument/2006/relationships/image" Target="../media/image195.png"/><Relationship Id="rId7" Type="http://schemas.openxmlformats.org/officeDocument/2006/relationships/image" Target="../media/image199.png"/><Relationship Id="rId12" Type="http://schemas.openxmlformats.org/officeDocument/2006/relationships/image" Target="../media/image204.png"/><Relationship Id="rId2" Type="http://schemas.openxmlformats.org/officeDocument/2006/relationships/image" Target="../media/image194.png"/><Relationship Id="rId1" Type="http://schemas.openxmlformats.org/officeDocument/2006/relationships/image" Target="../media/image193.png"/><Relationship Id="rId6" Type="http://schemas.openxmlformats.org/officeDocument/2006/relationships/image" Target="../media/image198.png"/><Relationship Id="rId11" Type="http://schemas.openxmlformats.org/officeDocument/2006/relationships/image" Target="../media/image203.png"/><Relationship Id="rId5" Type="http://schemas.openxmlformats.org/officeDocument/2006/relationships/image" Target="../media/image197.png"/><Relationship Id="rId10" Type="http://schemas.openxmlformats.org/officeDocument/2006/relationships/image" Target="../media/image202.png"/><Relationship Id="rId4" Type="http://schemas.openxmlformats.org/officeDocument/2006/relationships/image" Target="../media/image196.png"/><Relationship Id="rId9" Type="http://schemas.openxmlformats.org/officeDocument/2006/relationships/image" Target="../media/image201.png"/><Relationship Id="rId14" Type="http://schemas.openxmlformats.org/officeDocument/2006/relationships/hyperlink" Target="#&#30446;&#24405;!A1"/></Relationships>
</file>

<file path=xl/drawings/_rels/drawing20.xml.rels><?xml version="1.0" encoding="UTF-8" standalone="yes"?>
<Relationships xmlns="http://schemas.openxmlformats.org/package/2006/relationships"><Relationship Id="rId3" Type="http://schemas.openxmlformats.org/officeDocument/2006/relationships/image" Target="../media/image208.png"/><Relationship Id="rId2" Type="http://schemas.openxmlformats.org/officeDocument/2006/relationships/image" Target="../media/image207.png"/><Relationship Id="rId1" Type="http://schemas.openxmlformats.org/officeDocument/2006/relationships/image" Target="../media/image206.png"/><Relationship Id="rId4" Type="http://schemas.openxmlformats.org/officeDocument/2006/relationships/hyperlink" Target="#&#30446;&#24405;!A1"/></Relationships>
</file>

<file path=xl/drawings/_rels/drawing21.xml.rels><?xml version="1.0" encoding="UTF-8" standalone="yes"?>
<Relationships xmlns="http://schemas.openxmlformats.org/package/2006/relationships"><Relationship Id="rId3" Type="http://schemas.openxmlformats.org/officeDocument/2006/relationships/image" Target="../media/image210.png"/><Relationship Id="rId2" Type="http://schemas.openxmlformats.org/officeDocument/2006/relationships/image" Target="../media/image209.png"/><Relationship Id="rId1" Type="http://schemas.openxmlformats.org/officeDocument/2006/relationships/image" Target="../media/image143.png"/><Relationship Id="rId5" Type="http://schemas.openxmlformats.org/officeDocument/2006/relationships/hyperlink" Target="#&#30446;&#24405;!A1"/><Relationship Id="rId4" Type="http://schemas.openxmlformats.org/officeDocument/2006/relationships/image" Target="../media/image211.png"/></Relationships>
</file>

<file path=xl/drawings/_rels/drawing22.xml.rels><?xml version="1.0" encoding="UTF-8" standalone="yes"?>
<Relationships xmlns="http://schemas.openxmlformats.org/package/2006/relationships"><Relationship Id="rId8" Type="http://schemas.openxmlformats.org/officeDocument/2006/relationships/image" Target="../media/image217.png"/><Relationship Id="rId13" Type="http://schemas.openxmlformats.org/officeDocument/2006/relationships/image" Target="../media/image222.png"/><Relationship Id="rId3" Type="http://schemas.openxmlformats.org/officeDocument/2006/relationships/image" Target="../media/image212.png"/><Relationship Id="rId7" Type="http://schemas.openxmlformats.org/officeDocument/2006/relationships/image" Target="../media/image216.png"/><Relationship Id="rId12" Type="http://schemas.openxmlformats.org/officeDocument/2006/relationships/image" Target="../media/image221.png"/><Relationship Id="rId2" Type="http://schemas.openxmlformats.org/officeDocument/2006/relationships/image" Target="../media/image143.png"/><Relationship Id="rId16" Type="http://schemas.openxmlformats.org/officeDocument/2006/relationships/hyperlink" Target="#&#30446;&#24405;!A1"/><Relationship Id="rId1" Type="http://schemas.openxmlformats.org/officeDocument/2006/relationships/image" Target="../media/image140.png"/><Relationship Id="rId6" Type="http://schemas.openxmlformats.org/officeDocument/2006/relationships/image" Target="../media/image215.png"/><Relationship Id="rId11" Type="http://schemas.openxmlformats.org/officeDocument/2006/relationships/image" Target="../media/image220.png"/><Relationship Id="rId5" Type="http://schemas.openxmlformats.org/officeDocument/2006/relationships/image" Target="../media/image214.png"/><Relationship Id="rId15" Type="http://schemas.openxmlformats.org/officeDocument/2006/relationships/image" Target="../media/image224.png"/><Relationship Id="rId10" Type="http://schemas.openxmlformats.org/officeDocument/2006/relationships/image" Target="../media/image219.png"/><Relationship Id="rId4" Type="http://schemas.openxmlformats.org/officeDocument/2006/relationships/image" Target="../media/image213.png"/><Relationship Id="rId9" Type="http://schemas.openxmlformats.org/officeDocument/2006/relationships/image" Target="../media/image218.png"/><Relationship Id="rId14" Type="http://schemas.openxmlformats.org/officeDocument/2006/relationships/image" Target="../media/image223.png"/></Relationships>
</file>

<file path=xl/drawings/_rels/drawing23.xml.rels><?xml version="1.0" encoding="UTF-8" standalone="yes"?>
<Relationships xmlns="http://schemas.openxmlformats.org/package/2006/relationships"><Relationship Id="rId3" Type="http://schemas.openxmlformats.org/officeDocument/2006/relationships/image" Target="../media/image224.png"/><Relationship Id="rId2" Type="http://schemas.openxmlformats.org/officeDocument/2006/relationships/image" Target="../media/image143.png"/><Relationship Id="rId1" Type="http://schemas.openxmlformats.org/officeDocument/2006/relationships/image" Target="../media/image140.png"/><Relationship Id="rId5" Type="http://schemas.openxmlformats.org/officeDocument/2006/relationships/hyperlink" Target="#&#30446;&#24405;!A1"/><Relationship Id="rId4" Type="http://schemas.openxmlformats.org/officeDocument/2006/relationships/image" Target="../media/image225.png"/></Relationships>
</file>

<file path=xl/drawings/_rels/drawing24.xml.rels><?xml version="1.0" encoding="UTF-8" standalone="yes"?>
<Relationships xmlns="http://schemas.openxmlformats.org/package/2006/relationships"><Relationship Id="rId8" Type="http://schemas.openxmlformats.org/officeDocument/2006/relationships/image" Target="../media/image237.jpeg"/><Relationship Id="rId3" Type="http://schemas.openxmlformats.org/officeDocument/2006/relationships/image" Target="../media/image232.png"/><Relationship Id="rId7" Type="http://schemas.openxmlformats.org/officeDocument/2006/relationships/image" Target="../media/image236.png"/><Relationship Id="rId2" Type="http://schemas.openxmlformats.org/officeDocument/2006/relationships/image" Target="../media/image143.png"/><Relationship Id="rId1" Type="http://schemas.openxmlformats.org/officeDocument/2006/relationships/image" Target="../media/image140.png"/><Relationship Id="rId6" Type="http://schemas.openxmlformats.org/officeDocument/2006/relationships/image" Target="../media/image235.png"/><Relationship Id="rId11" Type="http://schemas.openxmlformats.org/officeDocument/2006/relationships/hyperlink" Target="#&#30446;&#24405;!A1"/><Relationship Id="rId5" Type="http://schemas.openxmlformats.org/officeDocument/2006/relationships/image" Target="../media/image234.png"/><Relationship Id="rId10" Type="http://schemas.openxmlformats.org/officeDocument/2006/relationships/image" Target="../media/image239.png"/><Relationship Id="rId4" Type="http://schemas.openxmlformats.org/officeDocument/2006/relationships/image" Target="../media/image233.jpeg"/><Relationship Id="rId9" Type="http://schemas.openxmlformats.org/officeDocument/2006/relationships/image" Target="../media/image238.png"/></Relationships>
</file>

<file path=xl/drawings/_rels/drawing25.xml.rels><?xml version="1.0" encoding="UTF-8" standalone="yes"?>
<Relationships xmlns="http://schemas.openxmlformats.org/package/2006/relationships"><Relationship Id="rId8" Type="http://schemas.openxmlformats.org/officeDocument/2006/relationships/image" Target="../media/image247.png"/><Relationship Id="rId3" Type="http://schemas.openxmlformats.org/officeDocument/2006/relationships/image" Target="../media/image242.jpeg"/><Relationship Id="rId7" Type="http://schemas.openxmlformats.org/officeDocument/2006/relationships/image" Target="../media/image246.png"/><Relationship Id="rId2" Type="http://schemas.openxmlformats.org/officeDocument/2006/relationships/image" Target="../media/image241.png"/><Relationship Id="rId1" Type="http://schemas.openxmlformats.org/officeDocument/2006/relationships/image" Target="../media/image240.png"/><Relationship Id="rId6" Type="http://schemas.openxmlformats.org/officeDocument/2006/relationships/image" Target="../media/image245.png"/><Relationship Id="rId5" Type="http://schemas.openxmlformats.org/officeDocument/2006/relationships/image" Target="../media/image244.png"/><Relationship Id="rId4" Type="http://schemas.openxmlformats.org/officeDocument/2006/relationships/image" Target="../media/image243.png"/><Relationship Id="rId9" Type="http://schemas.openxmlformats.org/officeDocument/2006/relationships/hyperlink" Target="#&#30446;&#24405;!A1"/></Relationships>
</file>

<file path=xl/drawings/_rels/drawing26.xml.rels><?xml version="1.0" encoding="UTF-8" standalone="yes"?>
<Relationships xmlns="http://schemas.openxmlformats.org/package/2006/relationships"><Relationship Id="rId8" Type="http://schemas.openxmlformats.org/officeDocument/2006/relationships/image" Target="../media/image255.png"/><Relationship Id="rId13" Type="http://schemas.openxmlformats.org/officeDocument/2006/relationships/image" Target="../media/image245.png"/><Relationship Id="rId3" Type="http://schemas.openxmlformats.org/officeDocument/2006/relationships/image" Target="../media/image250.png"/><Relationship Id="rId7" Type="http://schemas.openxmlformats.org/officeDocument/2006/relationships/image" Target="../media/image254.png"/><Relationship Id="rId12" Type="http://schemas.openxmlformats.org/officeDocument/2006/relationships/image" Target="../media/image259.png"/><Relationship Id="rId2" Type="http://schemas.openxmlformats.org/officeDocument/2006/relationships/image" Target="../media/image249.png"/><Relationship Id="rId16" Type="http://schemas.openxmlformats.org/officeDocument/2006/relationships/hyperlink" Target="#&#30446;&#24405;!A1"/><Relationship Id="rId1" Type="http://schemas.openxmlformats.org/officeDocument/2006/relationships/image" Target="../media/image248.png"/><Relationship Id="rId6" Type="http://schemas.openxmlformats.org/officeDocument/2006/relationships/image" Target="../media/image253.png"/><Relationship Id="rId11" Type="http://schemas.openxmlformats.org/officeDocument/2006/relationships/image" Target="../media/image258.png"/><Relationship Id="rId5" Type="http://schemas.openxmlformats.org/officeDocument/2006/relationships/image" Target="../media/image252.png"/><Relationship Id="rId15" Type="http://schemas.openxmlformats.org/officeDocument/2006/relationships/image" Target="../media/image244.png"/><Relationship Id="rId10" Type="http://schemas.openxmlformats.org/officeDocument/2006/relationships/image" Target="../media/image257.png"/><Relationship Id="rId4" Type="http://schemas.openxmlformats.org/officeDocument/2006/relationships/image" Target="../media/image251.png"/><Relationship Id="rId9" Type="http://schemas.openxmlformats.org/officeDocument/2006/relationships/image" Target="../media/image256.png"/><Relationship Id="rId14" Type="http://schemas.openxmlformats.org/officeDocument/2006/relationships/image" Target="../media/image243.png"/></Relationships>
</file>

<file path=xl/drawings/_rels/drawing27.xml.rels><?xml version="1.0" encoding="UTF-8" standalone="yes"?>
<Relationships xmlns="http://schemas.openxmlformats.org/package/2006/relationships"><Relationship Id="rId8" Type="http://schemas.openxmlformats.org/officeDocument/2006/relationships/image" Target="../media/image255.png"/><Relationship Id="rId13" Type="http://schemas.openxmlformats.org/officeDocument/2006/relationships/image" Target="../media/image244.png"/><Relationship Id="rId3" Type="http://schemas.openxmlformats.org/officeDocument/2006/relationships/image" Target="../media/image250.png"/><Relationship Id="rId7" Type="http://schemas.openxmlformats.org/officeDocument/2006/relationships/image" Target="../media/image254.png"/><Relationship Id="rId12" Type="http://schemas.openxmlformats.org/officeDocument/2006/relationships/image" Target="../media/image243.png"/><Relationship Id="rId2" Type="http://schemas.openxmlformats.org/officeDocument/2006/relationships/image" Target="../media/image249.png"/><Relationship Id="rId16" Type="http://schemas.openxmlformats.org/officeDocument/2006/relationships/hyperlink" Target="#&#30446;&#24405;!A1"/><Relationship Id="rId1" Type="http://schemas.openxmlformats.org/officeDocument/2006/relationships/image" Target="../media/image248.png"/><Relationship Id="rId6" Type="http://schemas.openxmlformats.org/officeDocument/2006/relationships/image" Target="../media/image253.png"/><Relationship Id="rId11" Type="http://schemas.openxmlformats.org/officeDocument/2006/relationships/image" Target="../media/image245.png"/><Relationship Id="rId5" Type="http://schemas.openxmlformats.org/officeDocument/2006/relationships/image" Target="../media/image252.png"/><Relationship Id="rId15" Type="http://schemas.openxmlformats.org/officeDocument/2006/relationships/image" Target="../media/image261.png"/><Relationship Id="rId10" Type="http://schemas.openxmlformats.org/officeDocument/2006/relationships/image" Target="../media/image259.png"/><Relationship Id="rId4" Type="http://schemas.openxmlformats.org/officeDocument/2006/relationships/image" Target="../media/image251.png"/><Relationship Id="rId9" Type="http://schemas.openxmlformats.org/officeDocument/2006/relationships/image" Target="../media/image256.png"/><Relationship Id="rId14" Type="http://schemas.openxmlformats.org/officeDocument/2006/relationships/image" Target="../media/image260.png"/></Relationships>
</file>

<file path=xl/drawings/_rels/drawing28.xml.rels><?xml version="1.0" encoding="UTF-8" standalone="yes"?>
<Relationships xmlns="http://schemas.openxmlformats.org/package/2006/relationships"><Relationship Id="rId8" Type="http://schemas.openxmlformats.org/officeDocument/2006/relationships/image" Target="../media/image255.png"/><Relationship Id="rId13" Type="http://schemas.openxmlformats.org/officeDocument/2006/relationships/image" Target="../media/image244.png"/><Relationship Id="rId3" Type="http://schemas.openxmlformats.org/officeDocument/2006/relationships/image" Target="../media/image250.png"/><Relationship Id="rId7" Type="http://schemas.openxmlformats.org/officeDocument/2006/relationships/image" Target="../media/image254.png"/><Relationship Id="rId12" Type="http://schemas.openxmlformats.org/officeDocument/2006/relationships/image" Target="../media/image243.png"/><Relationship Id="rId2" Type="http://schemas.openxmlformats.org/officeDocument/2006/relationships/image" Target="../media/image249.png"/><Relationship Id="rId16" Type="http://schemas.openxmlformats.org/officeDocument/2006/relationships/hyperlink" Target="#&#30446;&#24405;!A1"/><Relationship Id="rId1" Type="http://schemas.openxmlformats.org/officeDocument/2006/relationships/image" Target="../media/image248.png"/><Relationship Id="rId6" Type="http://schemas.openxmlformats.org/officeDocument/2006/relationships/image" Target="../media/image253.png"/><Relationship Id="rId11" Type="http://schemas.openxmlformats.org/officeDocument/2006/relationships/image" Target="../media/image245.png"/><Relationship Id="rId5" Type="http://schemas.openxmlformats.org/officeDocument/2006/relationships/image" Target="../media/image252.png"/><Relationship Id="rId15" Type="http://schemas.openxmlformats.org/officeDocument/2006/relationships/image" Target="../media/image263.png"/><Relationship Id="rId10" Type="http://schemas.openxmlformats.org/officeDocument/2006/relationships/image" Target="../media/image259.png"/><Relationship Id="rId4" Type="http://schemas.openxmlformats.org/officeDocument/2006/relationships/image" Target="../media/image251.png"/><Relationship Id="rId9" Type="http://schemas.openxmlformats.org/officeDocument/2006/relationships/image" Target="../media/image256.png"/><Relationship Id="rId14" Type="http://schemas.openxmlformats.org/officeDocument/2006/relationships/image" Target="../media/image262.png"/></Relationships>
</file>

<file path=xl/drawings/_rels/drawing29.xml.rels><?xml version="1.0" encoding="UTF-8" standalone="yes"?>
<Relationships xmlns="http://schemas.openxmlformats.org/package/2006/relationships"><Relationship Id="rId8" Type="http://schemas.openxmlformats.org/officeDocument/2006/relationships/image" Target="../media/image271.png"/><Relationship Id="rId3" Type="http://schemas.openxmlformats.org/officeDocument/2006/relationships/image" Target="../media/image266.png"/><Relationship Id="rId7" Type="http://schemas.openxmlformats.org/officeDocument/2006/relationships/image" Target="../media/image270.png"/><Relationship Id="rId12" Type="http://schemas.openxmlformats.org/officeDocument/2006/relationships/hyperlink" Target="#&#30446;&#24405;!A1"/><Relationship Id="rId2" Type="http://schemas.openxmlformats.org/officeDocument/2006/relationships/image" Target="../media/image265.png"/><Relationship Id="rId1" Type="http://schemas.openxmlformats.org/officeDocument/2006/relationships/image" Target="../media/image264.png"/><Relationship Id="rId6" Type="http://schemas.openxmlformats.org/officeDocument/2006/relationships/image" Target="../media/image269.png"/><Relationship Id="rId11" Type="http://schemas.openxmlformats.org/officeDocument/2006/relationships/image" Target="../media/image274.png"/><Relationship Id="rId5" Type="http://schemas.openxmlformats.org/officeDocument/2006/relationships/image" Target="../media/image268.png"/><Relationship Id="rId10" Type="http://schemas.openxmlformats.org/officeDocument/2006/relationships/image" Target="../media/image273.png"/><Relationship Id="rId4" Type="http://schemas.openxmlformats.org/officeDocument/2006/relationships/image" Target="../media/image267.png"/><Relationship Id="rId9" Type="http://schemas.openxmlformats.org/officeDocument/2006/relationships/image" Target="../media/image272.png"/></Relationships>
</file>

<file path=xl/drawings/_rels/drawing30.xml.rels><?xml version="1.0" encoding="UTF-8" standalone="yes"?>
<Relationships xmlns="http://schemas.openxmlformats.org/package/2006/relationships"><Relationship Id="rId8" Type="http://schemas.openxmlformats.org/officeDocument/2006/relationships/image" Target="../media/image282.png"/><Relationship Id="rId13" Type="http://schemas.openxmlformats.org/officeDocument/2006/relationships/image" Target="../media/image287.png"/><Relationship Id="rId3" Type="http://schemas.openxmlformats.org/officeDocument/2006/relationships/image" Target="../media/image278.png"/><Relationship Id="rId7" Type="http://schemas.openxmlformats.org/officeDocument/2006/relationships/image" Target="../media/image281.png"/><Relationship Id="rId12" Type="http://schemas.openxmlformats.org/officeDocument/2006/relationships/image" Target="../media/image286.png"/><Relationship Id="rId2" Type="http://schemas.openxmlformats.org/officeDocument/2006/relationships/image" Target="../media/image277.png"/><Relationship Id="rId16" Type="http://schemas.openxmlformats.org/officeDocument/2006/relationships/hyperlink" Target="#&#30446;&#24405;!A1"/><Relationship Id="rId1" Type="http://schemas.openxmlformats.org/officeDocument/2006/relationships/image" Target="../media/image276.png"/><Relationship Id="rId6" Type="http://schemas.openxmlformats.org/officeDocument/2006/relationships/image" Target="../media/image280.png"/><Relationship Id="rId11" Type="http://schemas.openxmlformats.org/officeDocument/2006/relationships/image" Target="../media/image285.png"/><Relationship Id="rId5" Type="http://schemas.openxmlformats.org/officeDocument/2006/relationships/image" Target="../media/image265.png"/><Relationship Id="rId15" Type="http://schemas.openxmlformats.org/officeDocument/2006/relationships/image" Target="../media/image273.png"/><Relationship Id="rId10" Type="http://schemas.openxmlformats.org/officeDocument/2006/relationships/image" Target="../media/image284.png"/><Relationship Id="rId4" Type="http://schemas.openxmlformats.org/officeDocument/2006/relationships/image" Target="../media/image279.png"/><Relationship Id="rId9" Type="http://schemas.openxmlformats.org/officeDocument/2006/relationships/image" Target="../media/image283.emf"/><Relationship Id="rId14" Type="http://schemas.openxmlformats.org/officeDocument/2006/relationships/image" Target="../media/image288.png"/></Relationships>
</file>

<file path=xl/drawings/_rels/drawing31.xml.rels><?xml version="1.0" encoding="UTF-8" standalone="yes"?>
<Relationships xmlns="http://schemas.openxmlformats.org/package/2006/relationships"><Relationship Id="rId8" Type="http://schemas.openxmlformats.org/officeDocument/2006/relationships/image" Target="../media/image296.png"/><Relationship Id="rId13" Type="http://schemas.openxmlformats.org/officeDocument/2006/relationships/image" Target="../media/image288.png"/><Relationship Id="rId18" Type="http://schemas.openxmlformats.org/officeDocument/2006/relationships/image" Target="../media/image305.png"/><Relationship Id="rId3" Type="http://schemas.openxmlformats.org/officeDocument/2006/relationships/image" Target="../media/image291.png"/><Relationship Id="rId21" Type="http://schemas.openxmlformats.org/officeDocument/2006/relationships/image" Target="../media/image308.png"/><Relationship Id="rId7" Type="http://schemas.openxmlformats.org/officeDocument/2006/relationships/image" Target="../media/image295.png"/><Relationship Id="rId12" Type="http://schemas.openxmlformats.org/officeDocument/2006/relationships/image" Target="../media/image300.png"/><Relationship Id="rId17" Type="http://schemas.openxmlformats.org/officeDocument/2006/relationships/image" Target="../media/image304.png"/><Relationship Id="rId2" Type="http://schemas.openxmlformats.org/officeDocument/2006/relationships/image" Target="../media/image290.png"/><Relationship Id="rId16" Type="http://schemas.openxmlformats.org/officeDocument/2006/relationships/image" Target="../media/image303.png"/><Relationship Id="rId20" Type="http://schemas.openxmlformats.org/officeDocument/2006/relationships/image" Target="../media/image307.png"/><Relationship Id="rId1" Type="http://schemas.openxmlformats.org/officeDocument/2006/relationships/image" Target="../media/image289.png"/><Relationship Id="rId6" Type="http://schemas.openxmlformats.org/officeDocument/2006/relationships/image" Target="../media/image294.png"/><Relationship Id="rId11" Type="http://schemas.openxmlformats.org/officeDocument/2006/relationships/image" Target="../media/image299.png"/><Relationship Id="rId5" Type="http://schemas.openxmlformats.org/officeDocument/2006/relationships/image" Target="../media/image293.png"/><Relationship Id="rId15" Type="http://schemas.openxmlformats.org/officeDocument/2006/relationships/image" Target="../media/image302.png"/><Relationship Id="rId10" Type="http://schemas.openxmlformats.org/officeDocument/2006/relationships/image" Target="../media/image298.png"/><Relationship Id="rId19" Type="http://schemas.openxmlformats.org/officeDocument/2006/relationships/image" Target="../media/image306.png"/><Relationship Id="rId4" Type="http://schemas.openxmlformats.org/officeDocument/2006/relationships/image" Target="../media/image292.png"/><Relationship Id="rId9" Type="http://schemas.openxmlformats.org/officeDocument/2006/relationships/image" Target="../media/image297.png"/><Relationship Id="rId14" Type="http://schemas.openxmlformats.org/officeDocument/2006/relationships/image" Target="../media/image301.png"/><Relationship Id="rId22" Type="http://schemas.openxmlformats.org/officeDocument/2006/relationships/hyperlink" Target="#&#30446;&#24405;!A1"/></Relationships>
</file>

<file path=xl/drawings/_rels/drawing32.xml.rels><?xml version="1.0" encoding="UTF-8" standalone="yes"?>
<Relationships xmlns="http://schemas.openxmlformats.org/package/2006/relationships"><Relationship Id="rId3" Type="http://schemas.openxmlformats.org/officeDocument/2006/relationships/hyperlink" Target="#&#30446;&#24405;!A1"/><Relationship Id="rId2" Type="http://schemas.openxmlformats.org/officeDocument/2006/relationships/chart" Target="../charts/chart2.xml"/><Relationship Id="rId1" Type="http://schemas.openxmlformats.org/officeDocument/2006/relationships/chart" Target="../charts/chart1.xml"/></Relationships>
</file>

<file path=xl/drawings/_rels/drawing33.xml.rels><?xml version="1.0" encoding="UTF-8" standalone="yes"?>
<Relationships xmlns="http://schemas.openxmlformats.org/package/2006/relationships"><Relationship Id="rId8" Type="http://schemas.openxmlformats.org/officeDocument/2006/relationships/image" Target="../media/image316.png"/><Relationship Id="rId13" Type="http://schemas.openxmlformats.org/officeDocument/2006/relationships/hyperlink" Target="#&#30446;&#24405;!A1"/><Relationship Id="rId3" Type="http://schemas.openxmlformats.org/officeDocument/2006/relationships/image" Target="../media/image311.png"/><Relationship Id="rId7" Type="http://schemas.openxmlformats.org/officeDocument/2006/relationships/image" Target="../media/image315.png"/><Relationship Id="rId12" Type="http://schemas.openxmlformats.org/officeDocument/2006/relationships/image" Target="../media/image320.png"/><Relationship Id="rId2" Type="http://schemas.openxmlformats.org/officeDocument/2006/relationships/image" Target="../media/image310.png"/><Relationship Id="rId1" Type="http://schemas.openxmlformats.org/officeDocument/2006/relationships/image" Target="../media/image309.png"/><Relationship Id="rId6" Type="http://schemas.openxmlformats.org/officeDocument/2006/relationships/image" Target="../media/image314.png"/><Relationship Id="rId11" Type="http://schemas.openxmlformats.org/officeDocument/2006/relationships/image" Target="../media/image319.png"/><Relationship Id="rId5" Type="http://schemas.openxmlformats.org/officeDocument/2006/relationships/image" Target="../media/image313.png"/><Relationship Id="rId10" Type="http://schemas.openxmlformats.org/officeDocument/2006/relationships/image" Target="../media/image318.png"/><Relationship Id="rId4" Type="http://schemas.openxmlformats.org/officeDocument/2006/relationships/image" Target="../media/image312.png"/><Relationship Id="rId9" Type="http://schemas.openxmlformats.org/officeDocument/2006/relationships/image" Target="../media/image317.png"/></Relationships>
</file>

<file path=xl/drawings/_rels/drawing34.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35.xml.rels><?xml version="1.0" encoding="UTF-8" standalone="yes"?>
<Relationships xmlns="http://schemas.openxmlformats.org/package/2006/relationships"><Relationship Id="rId8" Type="http://schemas.openxmlformats.org/officeDocument/2006/relationships/image" Target="../media/image328.png"/><Relationship Id="rId13" Type="http://schemas.openxmlformats.org/officeDocument/2006/relationships/image" Target="../media/image333.png"/><Relationship Id="rId18" Type="http://schemas.openxmlformats.org/officeDocument/2006/relationships/image" Target="../media/image338.png"/><Relationship Id="rId3" Type="http://schemas.openxmlformats.org/officeDocument/2006/relationships/image" Target="../media/image323.png"/><Relationship Id="rId21" Type="http://schemas.openxmlformats.org/officeDocument/2006/relationships/image" Target="../media/image341.png"/><Relationship Id="rId7" Type="http://schemas.openxmlformats.org/officeDocument/2006/relationships/image" Target="../media/image327.png"/><Relationship Id="rId12" Type="http://schemas.openxmlformats.org/officeDocument/2006/relationships/image" Target="../media/image332.png"/><Relationship Id="rId17" Type="http://schemas.openxmlformats.org/officeDocument/2006/relationships/image" Target="../media/image337.png"/><Relationship Id="rId25" Type="http://schemas.openxmlformats.org/officeDocument/2006/relationships/hyperlink" Target="#&#30446;&#24405;!A1"/><Relationship Id="rId2" Type="http://schemas.openxmlformats.org/officeDocument/2006/relationships/image" Target="../media/image322.png"/><Relationship Id="rId16" Type="http://schemas.openxmlformats.org/officeDocument/2006/relationships/image" Target="../media/image336.png"/><Relationship Id="rId20" Type="http://schemas.openxmlformats.org/officeDocument/2006/relationships/image" Target="../media/image340.png"/><Relationship Id="rId1" Type="http://schemas.openxmlformats.org/officeDocument/2006/relationships/image" Target="../media/image321.png"/><Relationship Id="rId6" Type="http://schemas.openxmlformats.org/officeDocument/2006/relationships/image" Target="../media/image326.png"/><Relationship Id="rId11" Type="http://schemas.openxmlformats.org/officeDocument/2006/relationships/image" Target="../media/image331.png"/><Relationship Id="rId24" Type="http://schemas.openxmlformats.org/officeDocument/2006/relationships/image" Target="../media/image288.png"/><Relationship Id="rId5" Type="http://schemas.openxmlformats.org/officeDocument/2006/relationships/image" Target="../media/image325.png"/><Relationship Id="rId15" Type="http://schemas.openxmlformats.org/officeDocument/2006/relationships/image" Target="../media/image335.png"/><Relationship Id="rId23" Type="http://schemas.openxmlformats.org/officeDocument/2006/relationships/image" Target="../media/image343.png"/><Relationship Id="rId10" Type="http://schemas.openxmlformats.org/officeDocument/2006/relationships/image" Target="../media/image330.png"/><Relationship Id="rId19" Type="http://schemas.openxmlformats.org/officeDocument/2006/relationships/image" Target="../media/image339.png"/><Relationship Id="rId4" Type="http://schemas.openxmlformats.org/officeDocument/2006/relationships/image" Target="../media/image324.png"/><Relationship Id="rId9" Type="http://schemas.openxmlformats.org/officeDocument/2006/relationships/image" Target="../media/image329.png"/><Relationship Id="rId14" Type="http://schemas.openxmlformats.org/officeDocument/2006/relationships/image" Target="../media/image334.png"/><Relationship Id="rId22" Type="http://schemas.openxmlformats.org/officeDocument/2006/relationships/image" Target="../media/image342.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8.emf"/><Relationship Id="rId2" Type="http://schemas.openxmlformats.org/officeDocument/2006/relationships/image" Target="../media/image27.emf"/><Relationship Id="rId1" Type="http://schemas.openxmlformats.org/officeDocument/2006/relationships/image" Target="../media/image26.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46.emf"/><Relationship Id="rId3" Type="http://schemas.openxmlformats.org/officeDocument/2006/relationships/image" Target="../media/image41.emf"/><Relationship Id="rId7" Type="http://schemas.openxmlformats.org/officeDocument/2006/relationships/image" Target="../media/image45.emf"/><Relationship Id="rId2" Type="http://schemas.openxmlformats.org/officeDocument/2006/relationships/image" Target="../media/image40.emf"/><Relationship Id="rId1" Type="http://schemas.openxmlformats.org/officeDocument/2006/relationships/image" Target="../media/image39.emf"/><Relationship Id="rId6" Type="http://schemas.openxmlformats.org/officeDocument/2006/relationships/image" Target="../media/image44.emf"/><Relationship Id="rId5" Type="http://schemas.openxmlformats.org/officeDocument/2006/relationships/image" Target="../media/image43.emf"/><Relationship Id="rId4" Type="http://schemas.openxmlformats.org/officeDocument/2006/relationships/image" Target="../media/image42.emf"/><Relationship Id="rId9" Type="http://schemas.openxmlformats.org/officeDocument/2006/relationships/image" Target="../media/image47.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49.emf"/><Relationship Id="rId1" Type="http://schemas.openxmlformats.org/officeDocument/2006/relationships/image" Target="../media/image48.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53.emf"/><Relationship Id="rId2" Type="http://schemas.openxmlformats.org/officeDocument/2006/relationships/image" Target="../media/image52.emf"/><Relationship Id="rId1" Type="http://schemas.openxmlformats.org/officeDocument/2006/relationships/image" Target="../media/image51.emf"/><Relationship Id="rId5" Type="http://schemas.openxmlformats.org/officeDocument/2006/relationships/image" Target="../media/image55.emf"/><Relationship Id="rId4" Type="http://schemas.openxmlformats.org/officeDocument/2006/relationships/image" Target="../media/image54.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66.emf"/><Relationship Id="rId7" Type="http://schemas.openxmlformats.org/officeDocument/2006/relationships/image" Target="../media/image70.emf"/><Relationship Id="rId2" Type="http://schemas.openxmlformats.org/officeDocument/2006/relationships/image" Target="../media/image65.emf"/><Relationship Id="rId1" Type="http://schemas.openxmlformats.org/officeDocument/2006/relationships/image" Target="../media/image64.emf"/><Relationship Id="rId6" Type="http://schemas.openxmlformats.org/officeDocument/2006/relationships/image" Target="../media/image69.emf"/><Relationship Id="rId5" Type="http://schemas.openxmlformats.org/officeDocument/2006/relationships/image" Target="../media/image68.emf"/><Relationship Id="rId4" Type="http://schemas.openxmlformats.org/officeDocument/2006/relationships/image" Target="../media/image67.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5.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75.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228.emf"/><Relationship Id="rId2" Type="http://schemas.openxmlformats.org/officeDocument/2006/relationships/image" Target="../media/image227.emf"/><Relationship Id="rId1" Type="http://schemas.openxmlformats.org/officeDocument/2006/relationships/image" Target="../media/image226.emf"/><Relationship Id="rId6" Type="http://schemas.openxmlformats.org/officeDocument/2006/relationships/image" Target="../media/image231.emf"/><Relationship Id="rId5" Type="http://schemas.openxmlformats.org/officeDocument/2006/relationships/image" Target="../media/image230.emf"/><Relationship Id="rId4" Type="http://schemas.openxmlformats.org/officeDocument/2006/relationships/image" Target="../media/image229.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75.emf"/></Relationships>
</file>

<file path=xl/drawings/_rels/vmlDrawing13.vml.rels><?xml version="1.0" encoding="UTF-8" standalone="yes"?>
<Relationships xmlns="http://schemas.openxmlformats.org/package/2006/relationships"><Relationship Id="rId8" Type="http://schemas.openxmlformats.org/officeDocument/2006/relationships/image" Target="../media/image351.emf"/><Relationship Id="rId13" Type="http://schemas.openxmlformats.org/officeDocument/2006/relationships/image" Target="../media/image356.emf"/><Relationship Id="rId18" Type="http://schemas.openxmlformats.org/officeDocument/2006/relationships/image" Target="../media/image361.emf"/><Relationship Id="rId3" Type="http://schemas.openxmlformats.org/officeDocument/2006/relationships/image" Target="../media/image346.emf"/><Relationship Id="rId21" Type="http://schemas.openxmlformats.org/officeDocument/2006/relationships/image" Target="../media/image364.emf"/><Relationship Id="rId7" Type="http://schemas.openxmlformats.org/officeDocument/2006/relationships/image" Target="../media/image350.emf"/><Relationship Id="rId12" Type="http://schemas.openxmlformats.org/officeDocument/2006/relationships/image" Target="../media/image355.emf"/><Relationship Id="rId17" Type="http://schemas.openxmlformats.org/officeDocument/2006/relationships/image" Target="../media/image360.emf"/><Relationship Id="rId2" Type="http://schemas.openxmlformats.org/officeDocument/2006/relationships/image" Target="../media/image345.emf"/><Relationship Id="rId16" Type="http://schemas.openxmlformats.org/officeDocument/2006/relationships/image" Target="../media/image359.emf"/><Relationship Id="rId20" Type="http://schemas.openxmlformats.org/officeDocument/2006/relationships/image" Target="../media/image363.emf"/><Relationship Id="rId1" Type="http://schemas.openxmlformats.org/officeDocument/2006/relationships/image" Target="../media/image344.emf"/><Relationship Id="rId6" Type="http://schemas.openxmlformats.org/officeDocument/2006/relationships/image" Target="../media/image349.emf"/><Relationship Id="rId11" Type="http://schemas.openxmlformats.org/officeDocument/2006/relationships/image" Target="../media/image354.emf"/><Relationship Id="rId24" Type="http://schemas.openxmlformats.org/officeDocument/2006/relationships/image" Target="../media/image367.emf"/><Relationship Id="rId5" Type="http://schemas.openxmlformats.org/officeDocument/2006/relationships/image" Target="../media/image348.emf"/><Relationship Id="rId15" Type="http://schemas.openxmlformats.org/officeDocument/2006/relationships/image" Target="../media/image358.emf"/><Relationship Id="rId23" Type="http://schemas.openxmlformats.org/officeDocument/2006/relationships/image" Target="../media/image366.emf"/><Relationship Id="rId10" Type="http://schemas.openxmlformats.org/officeDocument/2006/relationships/image" Target="../media/image353.emf"/><Relationship Id="rId19" Type="http://schemas.openxmlformats.org/officeDocument/2006/relationships/image" Target="../media/image362.emf"/><Relationship Id="rId4" Type="http://schemas.openxmlformats.org/officeDocument/2006/relationships/image" Target="../media/image347.emf"/><Relationship Id="rId9" Type="http://schemas.openxmlformats.org/officeDocument/2006/relationships/image" Target="../media/image352.emf"/><Relationship Id="rId14" Type="http://schemas.openxmlformats.org/officeDocument/2006/relationships/image" Target="../media/image357.emf"/><Relationship Id="rId22" Type="http://schemas.openxmlformats.org/officeDocument/2006/relationships/image" Target="../media/image365.emf"/></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25</xdr:row>
      <xdr:rowOff>161925</xdr:rowOff>
    </xdr:from>
    <xdr:to>
      <xdr:col>2</xdr:col>
      <xdr:colOff>3609975</xdr:colOff>
      <xdr:row>34</xdr:row>
      <xdr:rowOff>229494</xdr:rowOff>
    </xdr:to>
    <xdr:pic>
      <xdr:nvPicPr>
        <xdr:cNvPr id="4915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676525" y="6353175"/>
          <a:ext cx="3590925" cy="2296419"/>
        </a:xfrm>
        <a:prstGeom prst="rect">
          <a:avLst/>
        </a:prstGeom>
        <a:noFill/>
        <a:ln w="1">
          <a:noFill/>
          <a:miter lim="800000"/>
          <a:headEnd/>
          <a:tailEnd type="none" w="med" len="med"/>
        </a:ln>
        <a:effectLst/>
      </xdr:spPr>
    </xdr:pic>
    <xdr:clientData/>
  </xdr:twoCellAnchor>
  <xdr:twoCellAnchor>
    <xdr:from>
      <xdr:col>2</xdr:col>
      <xdr:colOff>3295650</xdr:colOff>
      <xdr:row>29</xdr:row>
      <xdr:rowOff>85725</xdr:rowOff>
    </xdr:from>
    <xdr:to>
      <xdr:col>2</xdr:col>
      <xdr:colOff>3867150</xdr:colOff>
      <xdr:row>30</xdr:row>
      <xdr:rowOff>9525</xdr:rowOff>
    </xdr:to>
    <xdr:cxnSp macro="">
      <xdr:nvCxnSpPr>
        <xdr:cNvPr id="4" name="直接箭头连接符 3"/>
        <xdr:cNvCxnSpPr/>
      </xdr:nvCxnSpPr>
      <xdr:spPr>
        <a:xfrm flipV="1">
          <a:off x="5953125" y="7267575"/>
          <a:ext cx="571500" cy="17145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2</xdr:col>
      <xdr:colOff>3295650</xdr:colOff>
      <xdr:row>27</xdr:row>
      <xdr:rowOff>47625</xdr:rowOff>
    </xdr:from>
    <xdr:to>
      <xdr:col>2</xdr:col>
      <xdr:colOff>3867150</xdr:colOff>
      <xdr:row>27</xdr:row>
      <xdr:rowOff>219075</xdr:rowOff>
    </xdr:to>
    <xdr:cxnSp macro="">
      <xdr:nvCxnSpPr>
        <xdr:cNvPr id="6" name="直接箭头连接符 5"/>
        <xdr:cNvCxnSpPr/>
      </xdr:nvCxnSpPr>
      <xdr:spPr>
        <a:xfrm flipV="1">
          <a:off x="5953125" y="6734175"/>
          <a:ext cx="571500" cy="17145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2</xdr:col>
      <xdr:colOff>3305175</xdr:colOff>
      <xdr:row>31</xdr:row>
      <xdr:rowOff>0</xdr:rowOff>
    </xdr:from>
    <xdr:to>
      <xdr:col>2</xdr:col>
      <xdr:colOff>3876675</xdr:colOff>
      <xdr:row>31</xdr:row>
      <xdr:rowOff>171450</xdr:rowOff>
    </xdr:to>
    <xdr:cxnSp macro="">
      <xdr:nvCxnSpPr>
        <xdr:cNvPr id="7" name="直接箭头连接符 6"/>
        <xdr:cNvCxnSpPr/>
      </xdr:nvCxnSpPr>
      <xdr:spPr>
        <a:xfrm flipV="1">
          <a:off x="5962650" y="7677150"/>
          <a:ext cx="571500" cy="17145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oneCellAnchor>
    <xdr:from>
      <xdr:col>2</xdr:col>
      <xdr:colOff>3829050</xdr:colOff>
      <xdr:row>25</xdr:row>
      <xdr:rowOff>171450</xdr:rowOff>
    </xdr:from>
    <xdr:ext cx="1082348" cy="577081"/>
    <xdr:sp macro="" textlink="">
      <xdr:nvSpPr>
        <xdr:cNvPr id="8" name="TextBox 7"/>
        <xdr:cNvSpPr txBox="1"/>
      </xdr:nvSpPr>
      <xdr:spPr>
        <a:xfrm>
          <a:off x="6486525" y="6362700"/>
          <a:ext cx="1082348" cy="5770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400">
              <a:latin typeface="时尚中黑简体" pitchFamily="2" charset="-122"/>
              <a:ea typeface="时尚中黑简体" pitchFamily="2" charset="-122"/>
            </a:rPr>
            <a:t>需用户输入</a:t>
          </a:r>
          <a:endParaRPr lang="en-US" altLang="zh-CN" sz="1400">
            <a:latin typeface="时尚中黑简体" pitchFamily="2" charset="-122"/>
            <a:ea typeface="时尚中黑简体" pitchFamily="2" charset="-122"/>
          </a:endParaRPr>
        </a:p>
        <a:p>
          <a:r>
            <a:rPr lang="zh-CN" altLang="en-US" sz="1400">
              <a:latin typeface="时尚中黑简体" pitchFamily="2" charset="-122"/>
              <a:ea typeface="时尚中黑简体" pitchFamily="2" charset="-122"/>
            </a:rPr>
            <a:t>的单元格</a:t>
          </a:r>
        </a:p>
      </xdr:txBody>
    </xdr:sp>
    <xdr:clientData/>
  </xdr:oneCellAnchor>
  <xdr:oneCellAnchor>
    <xdr:from>
      <xdr:col>2</xdr:col>
      <xdr:colOff>3829050</xdr:colOff>
      <xdr:row>27</xdr:row>
      <xdr:rowOff>219075</xdr:rowOff>
    </xdr:from>
    <xdr:ext cx="1082348" cy="577081"/>
    <xdr:sp macro="" textlink="">
      <xdr:nvSpPr>
        <xdr:cNvPr id="9" name="TextBox 8"/>
        <xdr:cNvSpPr txBox="1"/>
      </xdr:nvSpPr>
      <xdr:spPr>
        <a:xfrm>
          <a:off x="6486525" y="6905625"/>
          <a:ext cx="1082348" cy="5770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400">
              <a:latin typeface="时尚中黑简体" pitchFamily="2" charset="-122"/>
              <a:ea typeface="时尚中黑简体" pitchFamily="2" charset="-122"/>
            </a:rPr>
            <a:t>用户不能修</a:t>
          </a:r>
          <a:endParaRPr lang="en-US" altLang="zh-CN" sz="1400">
            <a:latin typeface="时尚中黑简体" pitchFamily="2" charset="-122"/>
            <a:ea typeface="时尚中黑简体" pitchFamily="2" charset="-122"/>
          </a:endParaRPr>
        </a:p>
        <a:p>
          <a:r>
            <a:rPr lang="zh-CN" altLang="en-US" sz="1400">
              <a:latin typeface="时尚中黑简体" pitchFamily="2" charset="-122"/>
              <a:ea typeface="时尚中黑简体" pitchFamily="2" charset="-122"/>
            </a:rPr>
            <a:t>改的单元格</a:t>
          </a:r>
        </a:p>
      </xdr:txBody>
    </xdr:sp>
    <xdr:clientData/>
  </xdr:oneCellAnchor>
  <xdr:oneCellAnchor>
    <xdr:from>
      <xdr:col>2</xdr:col>
      <xdr:colOff>3829050</xdr:colOff>
      <xdr:row>29</xdr:row>
      <xdr:rowOff>238125</xdr:rowOff>
    </xdr:from>
    <xdr:ext cx="1082348" cy="819455"/>
    <xdr:sp macro="" textlink="">
      <xdr:nvSpPr>
        <xdr:cNvPr id="10" name="TextBox 9"/>
        <xdr:cNvSpPr txBox="1"/>
      </xdr:nvSpPr>
      <xdr:spPr>
        <a:xfrm>
          <a:off x="6486525" y="7419975"/>
          <a:ext cx="1082348" cy="819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400">
              <a:latin typeface="时尚中黑简体" pitchFamily="2" charset="-122"/>
              <a:ea typeface="时尚中黑简体" pitchFamily="2" charset="-122"/>
            </a:rPr>
            <a:t>点击出现下</a:t>
          </a:r>
          <a:endParaRPr lang="en-US" altLang="zh-CN" sz="1400">
            <a:latin typeface="时尚中黑简体" pitchFamily="2" charset="-122"/>
            <a:ea typeface="时尚中黑简体" pitchFamily="2" charset="-122"/>
          </a:endParaRPr>
        </a:p>
        <a:p>
          <a:r>
            <a:rPr lang="zh-CN" altLang="en-US" sz="1400">
              <a:latin typeface="时尚中黑简体" pitchFamily="2" charset="-122"/>
              <a:ea typeface="时尚中黑简体" pitchFamily="2" charset="-122"/>
            </a:rPr>
            <a:t>拉菜单供选</a:t>
          </a:r>
          <a:endParaRPr lang="en-US" altLang="zh-CN" sz="1400">
            <a:latin typeface="时尚中黑简体" pitchFamily="2" charset="-122"/>
            <a:ea typeface="时尚中黑简体" pitchFamily="2" charset="-122"/>
          </a:endParaRPr>
        </a:p>
        <a:p>
          <a:r>
            <a:rPr lang="zh-CN" altLang="en-US" sz="1400">
              <a:latin typeface="时尚中黑简体" pitchFamily="2" charset="-122"/>
              <a:ea typeface="时尚中黑简体" pitchFamily="2" charset="-122"/>
            </a:rPr>
            <a:t>择的单元格</a:t>
          </a:r>
        </a:p>
      </xdr:txBody>
    </xdr:sp>
    <xdr:clientData/>
  </xdr:oneCellAnchor>
  <xdr:oneCellAnchor>
    <xdr:from>
      <xdr:col>2</xdr:col>
      <xdr:colOff>152400</xdr:colOff>
      <xdr:row>24</xdr:row>
      <xdr:rowOff>180975</xdr:rowOff>
    </xdr:from>
    <xdr:ext cx="1062920" cy="275717"/>
    <xdr:sp macro="" textlink="">
      <xdr:nvSpPr>
        <xdr:cNvPr id="11" name="TextBox 10"/>
        <xdr:cNvSpPr txBox="1"/>
      </xdr:nvSpPr>
      <xdr:spPr>
        <a:xfrm>
          <a:off x="2809875" y="6124575"/>
          <a:ext cx="106292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100"/>
            <a:t>附图 使用举例</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819151</xdr:colOff>
      <xdr:row>0</xdr:row>
      <xdr:rowOff>247650</xdr:rowOff>
    </xdr:to>
    <xdr:sp macro="" textlink="">
      <xdr:nvSpPr>
        <xdr:cNvPr id="2" name="五边形 1">
          <a:hlinkClick xmlns:r="http://schemas.openxmlformats.org/officeDocument/2006/relationships" r:id="rId1"/>
        </xdr:cNvPr>
        <xdr:cNvSpPr/>
      </xdr:nvSpPr>
      <xdr:spPr>
        <a:xfrm flipH="1">
          <a:off x="9525" y="28575"/>
          <a:ext cx="809626" cy="21907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9526</xdr:colOff>
      <xdr:row>18</xdr:row>
      <xdr:rowOff>9525</xdr:rowOff>
    </xdr:from>
    <xdr:to>
      <xdr:col>4</xdr:col>
      <xdr:colOff>400051</xdr:colOff>
      <xdr:row>21</xdr:row>
      <xdr:rowOff>238125</xdr:rowOff>
    </xdr:to>
    <xdr:pic>
      <xdr:nvPicPr>
        <xdr:cNvPr id="32808" name="Picture 40"/>
        <xdr:cNvPicPr>
          <a:picLocks noChangeAspect="1" noChangeArrowheads="1"/>
        </xdr:cNvPicPr>
      </xdr:nvPicPr>
      <xdr:blipFill>
        <a:blip xmlns:r="http://schemas.openxmlformats.org/officeDocument/2006/relationships" r:embed="rId1" cstate="print"/>
        <a:srcRect/>
        <a:stretch>
          <a:fillRect/>
        </a:stretch>
      </xdr:blipFill>
      <xdr:spPr bwMode="auto">
        <a:xfrm>
          <a:off x="3714751" y="4486275"/>
          <a:ext cx="1733550" cy="971550"/>
        </a:xfrm>
        <a:prstGeom prst="rect">
          <a:avLst/>
        </a:prstGeom>
        <a:noFill/>
        <a:ln w="1">
          <a:noFill/>
          <a:miter lim="800000"/>
          <a:headEnd/>
          <a:tailEnd type="none" w="med" len="med"/>
        </a:ln>
        <a:effectLst/>
      </xdr:spPr>
    </xdr:pic>
    <xdr:clientData/>
  </xdr:twoCellAnchor>
  <xdr:twoCellAnchor>
    <xdr:from>
      <xdr:col>2</xdr:col>
      <xdr:colOff>1076323</xdr:colOff>
      <xdr:row>8</xdr:row>
      <xdr:rowOff>133350</xdr:rowOff>
    </xdr:from>
    <xdr:to>
      <xdr:col>3</xdr:col>
      <xdr:colOff>838199</xdr:colOff>
      <xdr:row>9</xdr:row>
      <xdr:rowOff>133353</xdr:rowOff>
    </xdr:to>
    <xdr:sp macro="" textlink="">
      <xdr:nvSpPr>
        <xdr:cNvPr id="23" name="圆柱形 22"/>
        <xdr:cNvSpPr/>
      </xdr:nvSpPr>
      <xdr:spPr>
        <a:xfrm rot="5400000">
          <a:off x="3943347" y="1285876"/>
          <a:ext cx="247653" cy="952501"/>
        </a:xfrm>
        <a:prstGeom prst="can">
          <a:avLst>
            <a:gd name="adj" fmla="val 48881"/>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xdr:from>
      <xdr:col>3</xdr:col>
      <xdr:colOff>704849</xdr:colOff>
      <xdr:row>6</xdr:row>
      <xdr:rowOff>133351</xdr:rowOff>
    </xdr:from>
    <xdr:to>
      <xdr:col>3</xdr:col>
      <xdr:colOff>1000125</xdr:colOff>
      <xdr:row>11</xdr:row>
      <xdr:rowOff>180976</xdr:rowOff>
    </xdr:to>
    <xdr:sp macro="" textlink="">
      <xdr:nvSpPr>
        <xdr:cNvPr id="25" name="圆柱形 24"/>
        <xdr:cNvSpPr/>
      </xdr:nvSpPr>
      <xdr:spPr>
        <a:xfrm rot="5400000">
          <a:off x="3914774" y="2133601"/>
          <a:ext cx="1285875" cy="295276"/>
        </a:xfrm>
        <a:prstGeom prst="can">
          <a:avLst>
            <a:gd name="adj" fmla="val 50000"/>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editAs="oneCell">
    <xdr:from>
      <xdr:col>6</xdr:col>
      <xdr:colOff>219075</xdr:colOff>
      <xdr:row>51</xdr:row>
      <xdr:rowOff>1</xdr:rowOff>
    </xdr:from>
    <xdr:to>
      <xdr:col>15</xdr:col>
      <xdr:colOff>722028</xdr:colOff>
      <xdr:row>58</xdr:row>
      <xdr:rowOff>238125</xdr:rowOff>
    </xdr:to>
    <xdr:pic>
      <xdr:nvPicPr>
        <xdr:cNvPr id="32783" name="Picture 15"/>
        <xdr:cNvPicPr>
          <a:picLocks noChangeAspect="1" noChangeArrowheads="1"/>
        </xdr:cNvPicPr>
      </xdr:nvPicPr>
      <xdr:blipFill>
        <a:blip xmlns:r="http://schemas.openxmlformats.org/officeDocument/2006/relationships" r:embed="rId2" cstate="print"/>
        <a:srcRect/>
        <a:stretch>
          <a:fillRect/>
        </a:stretch>
      </xdr:blipFill>
      <xdr:spPr bwMode="auto">
        <a:xfrm>
          <a:off x="6505575" y="12649201"/>
          <a:ext cx="7837203" cy="1971674"/>
        </a:xfrm>
        <a:prstGeom prst="rect">
          <a:avLst/>
        </a:prstGeom>
        <a:noFill/>
        <a:ln w="1">
          <a:noFill/>
          <a:miter lim="800000"/>
          <a:headEnd/>
          <a:tailEnd type="none" w="med" len="med"/>
        </a:ln>
        <a:effectLst/>
      </xdr:spPr>
    </xdr:pic>
    <xdr:clientData/>
  </xdr:twoCellAnchor>
  <xdr:twoCellAnchor editAs="oneCell">
    <xdr:from>
      <xdr:col>5</xdr:col>
      <xdr:colOff>9525</xdr:colOff>
      <xdr:row>51</xdr:row>
      <xdr:rowOff>0</xdr:rowOff>
    </xdr:from>
    <xdr:to>
      <xdr:col>6</xdr:col>
      <xdr:colOff>251460</xdr:colOff>
      <xdr:row>58</xdr:row>
      <xdr:rowOff>238125</xdr:rowOff>
    </xdr:to>
    <xdr:pic>
      <xdr:nvPicPr>
        <xdr:cNvPr id="32784" name="Picture 16"/>
        <xdr:cNvPicPr>
          <a:picLocks noChangeAspect="1" noChangeArrowheads="1"/>
        </xdr:cNvPicPr>
      </xdr:nvPicPr>
      <xdr:blipFill>
        <a:blip xmlns:r="http://schemas.openxmlformats.org/officeDocument/2006/relationships" r:embed="rId3" cstate="print"/>
        <a:srcRect/>
        <a:stretch>
          <a:fillRect/>
        </a:stretch>
      </xdr:blipFill>
      <xdr:spPr bwMode="auto">
        <a:xfrm>
          <a:off x="5486400" y="12153900"/>
          <a:ext cx="1051560" cy="1971675"/>
        </a:xfrm>
        <a:prstGeom prst="rect">
          <a:avLst/>
        </a:prstGeom>
        <a:noFill/>
        <a:ln w="1">
          <a:noFill/>
          <a:miter lim="800000"/>
          <a:headEnd/>
          <a:tailEnd type="none" w="med" len="med"/>
        </a:ln>
        <a:effectLst/>
      </xdr:spPr>
    </xdr:pic>
    <xdr:clientData/>
  </xdr:twoCellAnchor>
  <xdr:twoCellAnchor editAs="oneCell">
    <xdr:from>
      <xdr:col>5</xdr:col>
      <xdr:colOff>9525</xdr:colOff>
      <xdr:row>99</xdr:row>
      <xdr:rowOff>0</xdr:rowOff>
    </xdr:from>
    <xdr:to>
      <xdr:col>12</xdr:col>
      <xdr:colOff>381000</xdr:colOff>
      <xdr:row>109</xdr:row>
      <xdr:rowOff>19050</xdr:rowOff>
    </xdr:to>
    <xdr:pic>
      <xdr:nvPicPr>
        <xdr:cNvPr id="32793" name="Picture 25"/>
        <xdr:cNvPicPr>
          <a:picLocks noChangeAspect="1" noChangeArrowheads="1"/>
        </xdr:cNvPicPr>
      </xdr:nvPicPr>
      <xdr:blipFill>
        <a:blip xmlns:r="http://schemas.openxmlformats.org/officeDocument/2006/relationships" r:embed="rId4" cstate="print"/>
        <a:srcRect/>
        <a:stretch>
          <a:fillRect/>
        </a:stretch>
      </xdr:blipFill>
      <xdr:spPr bwMode="auto">
        <a:xfrm>
          <a:off x="5486400" y="24041100"/>
          <a:ext cx="6038850" cy="2495550"/>
        </a:xfrm>
        <a:prstGeom prst="rect">
          <a:avLst/>
        </a:prstGeom>
        <a:noFill/>
        <a:ln w="1">
          <a:noFill/>
          <a:miter lim="800000"/>
          <a:headEnd/>
          <a:tailEnd type="none" w="med" len="med"/>
        </a:ln>
        <a:effectLst/>
      </xdr:spPr>
    </xdr:pic>
    <xdr:clientData/>
  </xdr:twoCellAnchor>
  <xdr:twoCellAnchor editAs="oneCell">
    <xdr:from>
      <xdr:col>5</xdr:col>
      <xdr:colOff>9525</xdr:colOff>
      <xdr:row>90</xdr:row>
      <xdr:rowOff>0</xdr:rowOff>
    </xdr:from>
    <xdr:to>
      <xdr:col>12</xdr:col>
      <xdr:colOff>247650</xdr:colOff>
      <xdr:row>98</xdr:row>
      <xdr:rowOff>219075</xdr:rowOff>
    </xdr:to>
    <xdr:pic>
      <xdr:nvPicPr>
        <xdr:cNvPr id="32795" name="Picture 27"/>
        <xdr:cNvPicPr>
          <a:picLocks noChangeAspect="1" noChangeArrowheads="1"/>
        </xdr:cNvPicPr>
      </xdr:nvPicPr>
      <xdr:blipFill>
        <a:blip xmlns:r="http://schemas.openxmlformats.org/officeDocument/2006/relationships" r:embed="rId5" cstate="print"/>
        <a:srcRect/>
        <a:stretch>
          <a:fillRect/>
        </a:stretch>
      </xdr:blipFill>
      <xdr:spPr bwMode="auto">
        <a:xfrm>
          <a:off x="5486400" y="21812250"/>
          <a:ext cx="5905500" cy="2200275"/>
        </a:xfrm>
        <a:prstGeom prst="rect">
          <a:avLst/>
        </a:prstGeom>
        <a:noFill/>
        <a:ln w="1">
          <a:noFill/>
          <a:miter lim="800000"/>
          <a:headEnd/>
          <a:tailEnd type="none" w="med" len="med"/>
        </a:ln>
        <a:effectLst/>
      </xdr:spPr>
    </xdr:pic>
    <xdr:clientData/>
  </xdr:twoCellAnchor>
  <xdr:twoCellAnchor editAs="oneCell">
    <xdr:from>
      <xdr:col>12</xdr:col>
      <xdr:colOff>219075</xdr:colOff>
      <xdr:row>90</xdr:row>
      <xdr:rowOff>0</xdr:rowOff>
    </xdr:from>
    <xdr:to>
      <xdr:col>15</xdr:col>
      <xdr:colOff>142875</xdr:colOff>
      <xdr:row>98</xdr:row>
      <xdr:rowOff>209550</xdr:rowOff>
    </xdr:to>
    <xdr:pic>
      <xdr:nvPicPr>
        <xdr:cNvPr id="32796" name="Picture 28"/>
        <xdr:cNvPicPr>
          <a:picLocks noChangeAspect="1" noChangeArrowheads="1"/>
        </xdr:cNvPicPr>
      </xdr:nvPicPr>
      <xdr:blipFill>
        <a:blip xmlns:r="http://schemas.openxmlformats.org/officeDocument/2006/relationships" r:embed="rId6" cstate="print"/>
        <a:srcRect/>
        <a:stretch>
          <a:fillRect/>
        </a:stretch>
      </xdr:blipFill>
      <xdr:spPr bwMode="auto">
        <a:xfrm>
          <a:off x="11363325" y="12896850"/>
          <a:ext cx="2400300" cy="2190750"/>
        </a:xfrm>
        <a:prstGeom prst="rect">
          <a:avLst/>
        </a:prstGeom>
        <a:noFill/>
        <a:ln w="1">
          <a:noFill/>
          <a:miter lim="800000"/>
          <a:headEnd/>
          <a:tailEnd type="none" w="med" len="med"/>
        </a:ln>
        <a:effectLst/>
      </xdr:spPr>
    </xdr:pic>
    <xdr:clientData/>
  </xdr:twoCellAnchor>
  <xdr:twoCellAnchor editAs="oneCell">
    <xdr:from>
      <xdr:col>6</xdr:col>
      <xdr:colOff>85725</xdr:colOff>
      <xdr:row>60</xdr:row>
      <xdr:rowOff>0</xdr:rowOff>
    </xdr:from>
    <xdr:to>
      <xdr:col>14</xdr:col>
      <xdr:colOff>1057275</xdr:colOff>
      <xdr:row>67</xdr:row>
      <xdr:rowOff>171450</xdr:rowOff>
    </xdr:to>
    <xdr:pic>
      <xdr:nvPicPr>
        <xdr:cNvPr id="12" name="Picture 31"/>
        <xdr:cNvPicPr>
          <a:picLocks noChangeAspect="1" noChangeArrowheads="1"/>
        </xdr:cNvPicPr>
      </xdr:nvPicPr>
      <xdr:blipFill>
        <a:blip xmlns:r="http://schemas.openxmlformats.org/officeDocument/2006/relationships" r:embed="rId7" cstate="print"/>
        <a:srcRect/>
        <a:stretch>
          <a:fillRect/>
        </a:stretch>
      </xdr:blipFill>
      <xdr:spPr bwMode="auto">
        <a:xfrm>
          <a:off x="6372225" y="12896850"/>
          <a:ext cx="7105650" cy="1905000"/>
        </a:xfrm>
        <a:prstGeom prst="rect">
          <a:avLst/>
        </a:prstGeom>
        <a:noFill/>
        <a:ln w="1">
          <a:noFill/>
          <a:miter lim="800000"/>
          <a:headEnd/>
          <a:tailEnd type="none" w="med" len="med"/>
        </a:ln>
        <a:effectLst/>
      </xdr:spPr>
    </xdr:pic>
    <xdr:clientData/>
  </xdr:twoCellAnchor>
  <xdr:twoCellAnchor editAs="oneCell">
    <xdr:from>
      <xdr:col>14</xdr:col>
      <xdr:colOff>1038225</xdr:colOff>
      <xdr:row>60</xdr:row>
      <xdr:rowOff>0</xdr:rowOff>
    </xdr:from>
    <xdr:to>
      <xdr:col>15</xdr:col>
      <xdr:colOff>962025</xdr:colOff>
      <xdr:row>67</xdr:row>
      <xdr:rowOff>161925</xdr:rowOff>
    </xdr:to>
    <xdr:pic>
      <xdr:nvPicPr>
        <xdr:cNvPr id="13" name="Picture 32"/>
        <xdr:cNvPicPr>
          <a:picLocks noChangeAspect="1" noChangeArrowheads="1"/>
        </xdr:cNvPicPr>
      </xdr:nvPicPr>
      <xdr:blipFill>
        <a:blip xmlns:r="http://schemas.openxmlformats.org/officeDocument/2006/relationships" r:embed="rId8" cstate="print"/>
        <a:srcRect/>
        <a:stretch>
          <a:fillRect/>
        </a:stretch>
      </xdr:blipFill>
      <xdr:spPr bwMode="auto">
        <a:xfrm>
          <a:off x="13458825" y="14878050"/>
          <a:ext cx="1123950" cy="1895475"/>
        </a:xfrm>
        <a:prstGeom prst="rect">
          <a:avLst/>
        </a:prstGeom>
        <a:noFill/>
        <a:ln w="1">
          <a:noFill/>
          <a:miter lim="800000"/>
          <a:headEnd/>
          <a:tailEnd type="none" w="med" len="med"/>
        </a:ln>
        <a:effectLst/>
      </xdr:spPr>
    </xdr:pic>
    <xdr:clientData/>
  </xdr:twoCellAnchor>
  <xdr:twoCellAnchor editAs="oneCell">
    <xdr:from>
      <xdr:col>5</xdr:col>
      <xdr:colOff>9525</xdr:colOff>
      <xdr:row>60</xdr:row>
      <xdr:rowOff>1</xdr:rowOff>
    </xdr:from>
    <xdr:to>
      <xdr:col>6</xdr:col>
      <xdr:colOff>97351</xdr:colOff>
      <xdr:row>67</xdr:row>
      <xdr:rowOff>228600</xdr:rowOff>
    </xdr:to>
    <xdr:pic>
      <xdr:nvPicPr>
        <xdr:cNvPr id="14" name="Picture 33"/>
        <xdr:cNvPicPr>
          <a:picLocks noChangeAspect="1" noChangeArrowheads="1"/>
        </xdr:cNvPicPr>
      </xdr:nvPicPr>
      <xdr:blipFill>
        <a:blip xmlns:r="http://schemas.openxmlformats.org/officeDocument/2006/relationships" r:embed="rId9" cstate="print"/>
        <a:srcRect/>
        <a:stretch>
          <a:fillRect/>
        </a:stretch>
      </xdr:blipFill>
      <xdr:spPr bwMode="auto">
        <a:xfrm>
          <a:off x="5486400" y="14382751"/>
          <a:ext cx="897451" cy="1962149"/>
        </a:xfrm>
        <a:prstGeom prst="rect">
          <a:avLst/>
        </a:prstGeom>
        <a:noFill/>
        <a:ln w="1">
          <a:noFill/>
          <a:miter lim="800000"/>
          <a:headEnd/>
          <a:tailEnd type="none" w="med" len="med"/>
        </a:ln>
        <a:effectLst/>
      </xdr:spPr>
    </xdr:pic>
    <xdr:clientData/>
  </xdr:twoCellAnchor>
  <xdr:twoCellAnchor editAs="oneCell">
    <xdr:from>
      <xdr:col>5</xdr:col>
      <xdr:colOff>9525</xdr:colOff>
      <xdr:row>78</xdr:row>
      <xdr:rowOff>0</xdr:rowOff>
    </xdr:from>
    <xdr:to>
      <xdr:col>11</xdr:col>
      <xdr:colOff>552450</xdr:colOff>
      <xdr:row>88</xdr:row>
      <xdr:rowOff>238125</xdr:rowOff>
    </xdr:to>
    <xdr:pic>
      <xdr:nvPicPr>
        <xdr:cNvPr id="32802" name="Picture 34"/>
        <xdr:cNvPicPr>
          <a:picLocks noChangeAspect="1" noChangeArrowheads="1"/>
        </xdr:cNvPicPr>
      </xdr:nvPicPr>
      <xdr:blipFill>
        <a:blip xmlns:r="http://schemas.openxmlformats.org/officeDocument/2006/relationships" r:embed="rId10" cstate="print"/>
        <a:srcRect/>
        <a:stretch>
          <a:fillRect/>
        </a:stretch>
      </xdr:blipFill>
      <xdr:spPr bwMode="auto">
        <a:xfrm>
          <a:off x="5486400" y="18840450"/>
          <a:ext cx="5400675" cy="2714625"/>
        </a:xfrm>
        <a:prstGeom prst="rect">
          <a:avLst/>
        </a:prstGeom>
        <a:noFill/>
        <a:ln w="1">
          <a:noFill/>
          <a:miter lim="800000"/>
          <a:headEnd/>
          <a:tailEnd type="none" w="med" len="med"/>
        </a:ln>
        <a:effectLst/>
      </xdr:spPr>
    </xdr:pic>
    <xdr:clientData/>
  </xdr:twoCellAnchor>
  <xdr:twoCellAnchor editAs="oneCell">
    <xdr:from>
      <xdr:col>5</xdr:col>
      <xdr:colOff>9525</xdr:colOff>
      <xdr:row>69</xdr:row>
      <xdr:rowOff>0</xdr:rowOff>
    </xdr:from>
    <xdr:to>
      <xdr:col>14</xdr:col>
      <xdr:colOff>123825</xdr:colOff>
      <xdr:row>77</xdr:row>
      <xdr:rowOff>228600</xdr:rowOff>
    </xdr:to>
    <xdr:pic>
      <xdr:nvPicPr>
        <xdr:cNvPr id="32803" name="Picture 35"/>
        <xdr:cNvPicPr>
          <a:picLocks noChangeAspect="1" noChangeArrowheads="1"/>
        </xdr:cNvPicPr>
      </xdr:nvPicPr>
      <xdr:blipFill>
        <a:blip xmlns:r="http://schemas.openxmlformats.org/officeDocument/2006/relationships" r:embed="rId11" cstate="print"/>
        <a:srcRect/>
        <a:stretch>
          <a:fillRect/>
        </a:stretch>
      </xdr:blipFill>
      <xdr:spPr bwMode="auto">
        <a:xfrm>
          <a:off x="5486400" y="16611600"/>
          <a:ext cx="7058025" cy="2209800"/>
        </a:xfrm>
        <a:prstGeom prst="rect">
          <a:avLst/>
        </a:prstGeom>
        <a:noFill/>
        <a:ln w="1">
          <a:noFill/>
          <a:miter lim="800000"/>
          <a:headEnd/>
          <a:tailEnd type="none" w="med" len="med"/>
        </a:ln>
        <a:effectLst/>
      </xdr:spPr>
    </xdr:pic>
    <xdr:clientData/>
  </xdr:twoCellAnchor>
  <xdr:twoCellAnchor editAs="oneCell">
    <xdr:from>
      <xdr:col>14</xdr:col>
      <xdr:colOff>66675</xdr:colOff>
      <xdr:row>69</xdr:row>
      <xdr:rowOff>0</xdr:rowOff>
    </xdr:from>
    <xdr:to>
      <xdr:col>15</xdr:col>
      <xdr:colOff>314325</xdr:colOff>
      <xdr:row>77</xdr:row>
      <xdr:rowOff>238125</xdr:rowOff>
    </xdr:to>
    <xdr:pic>
      <xdr:nvPicPr>
        <xdr:cNvPr id="32804" name="Picture 36"/>
        <xdr:cNvPicPr>
          <a:picLocks noChangeAspect="1" noChangeArrowheads="1"/>
        </xdr:cNvPicPr>
      </xdr:nvPicPr>
      <xdr:blipFill>
        <a:blip xmlns:r="http://schemas.openxmlformats.org/officeDocument/2006/relationships" r:embed="rId12" cstate="print"/>
        <a:srcRect/>
        <a:stretch>
          <a:fillRect/>
        </a:stretch>
      </xdr:blipFill>
      <xdr:spPr bwMode="auto">
        <a:xfrm>
          <a:off x="12487275" y="16611600"/>
          <a:ext cx="1447800" cy="2219325"/>
        </a:xfrm>
        <a:prstGeom prst="rect">
          <a:avLst/>
        </a:prstGeom>
        <a:noFill/>
        <a:ln w="1">
          <a:noFill/>
          <a:miter lim="800000"/>
          <a:headEnd/>
          <a:tailEnd type="none" w="med" len="med"/>
        </a:ln>
        <a:effectLst/>
      </xdr:spPr>
    </xdr:pic>
    <xdr:clientData/>
  </xdr:twoCellAnchor>
  <xdr:twoCellAnchor editAs="oneCell">
    <xdr:from>
      <xdr:col>15</xdr:col>
      <xdr:colOff>942975</xdr:colOff>
      <xdr:row>59</xdr:row>
      <xdr:rowOff>238125</xdr:rowOff>
    </xdr:from>
    <xdr:to>
      <xdr:col>16</xdr:col>
      <xdr:colOff>981075</xdr:colOff>
      <xdr:row>67</xdr:row>
      <xdr:rowOff>200025</xdr:rowOff>
    </xdr:to>
    <xdr:pic>
      <xdr:nvPicPr>
        <xdr:cNvPr id="32806" name="Picture 38"/>
        <xdr:cNvPicPr>
          <a:picLocks noChangeAspect="1" noChangeArrowheads="1"/>
        </xdr:cNvPicPr>
      </xdr:nvPicPr>
      <xdr:blipFill>
        <a:blip xmlns:r="http://schemas.openxmlformats.org/officeDocument/2006/relationships" r:embed="rId13" cstate="print"/>
        <a:srcRect/>
        <a:stretch>
          <a:fillRect/>
        </a:stretch>
      </xdr:blipFill>
      <xdr:spPr bwMode="auto">
        <a:xfrm>
          <a:off x="14563725" y="14868525"/>
          <a:ext cx="1304925" cy="1943100"/>
        </a:xfrm>
        <a:prstGeom prst="rect">
          <a:avLst/>
        </a:prstGeom>
        <a:noFill/>
        <a:ln w="1">
          <a:noFill/>
          <a:miter lim="800000"/>
          <a:headEnd/>
          <a:tailEnd type="none" w="med" len="med"/>
        </a:ln>
        <a:effectLst/>
      </xdr:spPr>
    </xdr:pic>
    <xdr:clientData/>
  </xdr:twoCellAnchor>
  <xdr:twoCellAnchor>
    <xdr:from>
      <xdr:col>3</xdr:col>
      <xdr:colOff>904875</xdr:colOff>
      <xdr:row>8</xdr:row>
      <xdr:rowOff>133351</xdr:rowOff>
    </xdr:from>
    <xdr:to>
      <xdr:col>4</xdr:col>
      <xdr:colOff>285750</xdr:colOff>
      <xdr:row>9</xdr:row>
      <xdr:rowOff>152404</xdr:rowOff>
    </xdr:to>
    <xdr:sp macro="" textlink="">
      <xdr:nvSpPr>
        <xdr:cNvPr id="24" name="圆柱形 23"/>
        <xdr:cNvSpPr/>
      </xdr:nvSpPr>
      <xdr:spPr>
        <a:xfrm rot="5400000">
          <a:off x="4838698" y="1409703"/>
          <a:ext cx="266703" cy="723900"/>
        </a:xfrm>
        <a:prstGeom prst="can">
          <a:avLst>
            <a:gd name="adj" fmla="val 48881"/>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xdr:from>
      <xdr:col>3</xdr:col>
      <xdr:colOff>857251</xdr:colOff>
      <xdr:row>6</xdr:row>
      <xdr:rowOff>133350</xdr:rowOff>
    </xdr:from>
    <xdr:to>
      <xdr:col>4</xdr:col>
      <xdr:colOff>19050</xdr:colOff>
      <xdr:row>6</xdr:row>
      <xdr:rowOff>133350</xdr:rowOff>
    </xdr:to>
    <xdr:cxnSp macro="">
      <xdr:nvCxnSpPr>
        <xdr:cNvPr id="30" name="直接箭头连接符 29"/>
        <xdr:cNvCxnSpPr/>
      </xdr:nvCxnSpPr>
      <xdr:spPr>
        <a:xfrm flipH="1">
          <a:off x="4562476" y="1143000"/>
          <a:ext cx="504824" cy="0"/>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862012</xdr:colOff>
      <xdr:row>4</xdr:row>
      <xdr:rowOff>219075</xdr:rowOff>
    </xdr:from>
    <xdr:to>
      <xdr:col>3</xdr:col>
      <xdr:colOff>862012</xdr:colOff>
      <xdr:row>6</xdr:row>
      <xdr:rowOff>109537</xdr:rowOff>
    </xdr:to>
    <xdr:cxnSp macro="">
      <xdr:nvCxnSpPr>
        <xdr:cNvPr id="32" name="直接箭头连接符 31"/>
        <xdr:cNvCxnSpPr/>
      </xdr:nvCxnSpPr>
      <xdr:spPr>
        <a:xfrm>
          <a:off x="4567237" y="733425"/>
          <a:ext cx="0" cy="385762"/>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790575</xdr:colOff>
      <xdr:row>4</xdr:row>
      <xdr:rowOff>161925</xdr:rowOff>
    </xdr:from>
    <xdr:ext cx="419089" cy="311496"/>
    <xdr:sp macro="" textlink="">
      <xdr:nvSpPr>
        <xdr:cNvPr id="38" name="TextBox 37"/>
        <xdr:cNvSpPr txBox="1"/>
      </xdr:nvSpPr>
      <xdr:spPr>
        <a:xfrm>
          <a:off x="4495800" y="676275"/>
          <a:ext cx="4190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400"/>
            <a:t>Fre</a:t>
          </a:r>
          <a:endParaRPr lang="zh-CN" altLang="en-US" sz="1400"/>
        </a:p>
      </xdr:txBody>
    </xdr:sp>
    <xdr:clientData/>
  </xdr:oneCellAnchor>
  <xdr:oneCellAnchor>
    <xdr:from>
      <xdr:col>3</xdr:col>
      <xdr:colOff>1066800</xdr:colOff>
      <xdr:row>5</xdr:row>
      <xdr:rowOff>114300</xdr:rowOff>
    </xdr:from>
    <xdr:ext cx="442493" cy="311496"/>
    <xdr:sp macro="" textlink="">
      <xdr:nvSpPr>
        <xdr:cNvPr id="39" name="TextBox 38"/>
        <xdr:cNvSpPr txBox="1"/>
      </xdr:nvSpPr>
      <xdr:spPr>
        <a:xfrm>
          <a:off x="4772025" y="876300"/>
          <a:ext cx="4424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400"/>
            <a:t>Fae</a:t>
          </a:r>
          <a:endParaRPr lang="zh-CN" altLang="en-US" sz="1400"/>
        </a:p>
      </xdr:txBody>
    </xdr:sp>
    <xdr:clientData/>
  </xdr:oneCellAnchor>
  <xdr:oneCellAnchor>
    <xdr:from>
      <xdr:col>3</xdr:col>
      <xdr:colOff>371475</xdr:colOff>
      <xdr:row>6</xdr:row>
      <xdr:rowOff>219075</xdr:rowOff>
    </xdr:from>
    <xdr:ext cx="416653" cy="311496"/>
    <xdr:sp macro="" textlink="">
      <xdr:nvSpPr>
        <xdr:cNvPr id="40" name="TextBox 39"/>
        <xdr:cNvSpPr txBox="1"/>
      </xdr:nvSpPr>
      <xdr:spPr>
        <a:xfrm>
          <a:off x="4076700" y="1724025"/>
          <a:ext cx="4166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400"/>
            <a:t>Fte</a:t>
          </a:r>
          <a:endParaRPr lang="zh-CN" altLang="en-US" sz="1400"/>
        </a:p>
      </xdr:txBody>
    </xdr:sp>
    <xdr:clientData/>
  </xdr:oneCellAnchor>
  <xdr:twoCellAnchor>
    <xdr:from>
      <xdr:col>3</xdr:col>
      <xdr:colOff>1314450</xdr:colOff>
      <xdr:row>7</xdr:row>
      <xdr:rowOff>219075</xdr:rowOff>
    </xdr:from>
    <xdr:to>
      <xdr:col>4</xdr:col>
      <xdr:colOff>114300</xdr:colOff>
      <xdr:row>8</xdr:row>
      <xdr:rowOff>114300</xdr:rowOff>
    </xdr:to>
    <xdr:sp macro="" textlink="">
      <xdr:nvSpPr>
        <xdr:cNvPr id="45" name="椭圆 44"/>
        <xdr:cNvSpPr/>
      </xdr:nvSpPr>
      <xdr:spPr>
        <a:xfrm>
          <a:off x="5019675" y="1476375"/>
          <a:ext cx="142875" cy="14287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pPr algn="ctr"/>
          <a:endParaRPr lang="zh-CN" altLang="en-US" sz="1100"/>
        </a:p>
      </xdr:txBody>
    </xdr:sp>
    <xdr:clientData/>
  </xdr:twoCellAnchor>
  <xdr:twoCellAnchor>
    <xdr:from>
      <xdr:col>3</xdr:col>
      <xdr:colOff>1314450</xdr:colOff>
      <xdr:row>9</xdr:row>
      <xdr:rowOff>152400</xdr:rowOff>
    </xdr:from>
    <xdr:to>
      <xdr:col>4</xdr:col>
      <xdr:colOff>114300</xdr:colOff>
      <xdr:row>10</xdr:row>
      <xdr:rowOff>47625</xdr:rowOff>
    </xdr:to>
    <xdr:sp macro="" textlink="">
      <xdr:nvSpPr>
        <xdr:cNvPr id="47" name="椭圆 46"/>
        <xdr:cNvSpPr/>
      </xdr:nvSpPr>
      <xdr:spPr>
        <a:xfrm>
          <a:off x="5019675" y="1905000"/>
          <a:ext cx="142875" cy="14287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pPr algn="ctr"/>
          <a:endParaRPr lang="zh-CN" altLang="en-US" sz="1100"/>
        </a:p>
      </xdr:txBody>
    </xdr:sp>
    <xdr:clientData/>
  </xdr:twoCellAnchor>
  <xdr:twoCellAnchor>
    <xdr:from>
      <xdr:col>2</xdr:col>
      <xdr:colOff>1133475</xdr:colOff>
      <xdr:row>7</xdr:row>
      <xdr:rowOff>180974</xdr:rowOff>
    </xdr:from>
    <xdr:to>
      <xdr:col>3</xdr:col>
      <xdr:colOff>171450</xdr:colOff>
      <xdr:row>10</xdr:row>
      <xdr:rowOff>95249</xdr:rowOff>
    </xdr:to>
    <xdr:sp macro="" textlink="">
      <xdr:nvSpPr>
        <xdr:cNvPr id="48" name="图文框 47"/>
        <xdr:cNvSpPr/>
      </xdr:nvSpPr>
      <xdr:spPr>
        <a:xfrm>
          <a:off x="3648075" y="1438274"/>
          <a:ext cx="228600" cy="657225"/>
        </a:xfrm>
        <a:prstGeom prst="frame">
          <a:avLst/>
        </a:prstGeom>
        <a:ln>
          <a:solidFill>
            <a:srgbClr val="00B0F0"/>
          </a:solidFill>
        </a:ln>
      </xdr:spPr>
      <xdr:style>
        <a:lnRef idx="2">
          <a:schemeClr val="accent3"/>
        </a:lnRef>
        <a:fillRef idx="1">
          <a:schemeClr val="lt1"/>
        </a:fillRef>
        <a:effectRef idx="0">
          <a:schemeClr val="accent3"/>
        </a:effectRef>
        <a:fontRef idx="minor">
          <a:schemeClr val="dk1"/>
        </a:fontRef>
      </xdr:style>
      <xdr:txBody>
        <a:bodyPr vertOverflow="clip" rtlCol="0" anchor="ctr"/>
        <a:lstStyle/>
        <a:p>
          <a:pPr algn="ctr"/>
          <a:endParaRPr lang="zh-CN" altLang="en-US" sz="1100">
            <a:solidFill>
              <a:schemeClr val="tx1"/>
            </a:solidFill>
          </a:endParaRPr>
        </a:p>
      </xdr:txBody>
    </xdr:sp>
    <xdr:clientData/>
  </xdr:twoCellAnchor>
  <xdr:twoCellAnchor>
    <xdr:from>
      <xdr:col>2</xdr:col>
      <xdr:colOff>1171575</xdr:colOff>
      <xdr:row>7</xdr:row>
      <xdr:rowOff>219075</xdr:rowOff>
    </xdr:from>
    <xdr:to>
      <xdr:col>3</xdr:col>
      <xdr:colOff>123825</xdr:colOff>
      <xdr:row>8</xdr:row>
      <xdr:rowOff>114300</xdr:rowOff>
    </xdr:to>
    <xdr:sp macro="" textlink="">
      <xdr:nvSpPr>
        <xdr:cNvPr id="49" name="椭圆 48"/>
        <xdr:cNvSpPr/>
      </xdr:nvSpPr>
      <xdr:spPr>
        <a:xfrm>
          <a:off x="3686175" y="1476375"/>
          <a:ext cx="142875" cy="14287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pPr algn="ctr"/>
          <a:endParaRPr lang="zh-CN" altLang="en-US" sz="1100"/>
        </a:p>
      </xdr:txBody>
    </xdr:sp>
    <xdr:clientData/>
  </xdr:twoCellAnchor>
  <xdr:twoCellAnchor>
    <xdr:from>
      <xdr:col>2</xdr:col>
      <xdr:colOff>1171575</xdr:colOff>
      <xdr:row>9</xdr:row>
      <xdr:rowOff>152400</xdr:rowOff>
    </xdr:from>
    <xdr:to>
      <xdr:col>3</xdr:col>
      <xdr:colOff>123825</xdr:colOff>
      <xdr:row>10</xdr:row>
      <xdr:rowOff>47625</xdr:rowOff>
    </xdr:to>
    <xdr:sp macro="" textlink="">
      <xdr:nvSpPr>
        <xdr:cNvPr id="50" name="椭圆 49"/>
        <xdr:cNvSpPr/>
      </xdr:nvSpPr>
      <xdr:spPr>
        <a:xfrm>
          <a:off x="3686175" y="1905000"/>
          <a:ext cx="142875" cy="14287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pPr algn="ctr"/>
          <a:endParaRPr lang="zh-CN" altLang="en-US" sz="1100"/>
        </a:p>
      </xdr:txBody>
    </xdr:sp>
    <xdr:clientData/>
  </xdr:twoCellAnchor>
  <xdr:twoCellAnchor>
    <xdr:from>
      <xdr:col>3</xdr:col>
      <xdr:colOff>1266825</xdr:colOff>
      <xdr:row>7</xdr:row>
      <xdr:rowOff>180974</xdr:rowOff>
    </xdr:from>
    <xdr:to>
      <xdr:col>4</xdr:col>
      <xdr:colOff>152400</xdr:colOff>
      <xdr:row>10</xdr:row>
      <xdr:rowOff>95249</xdr:rowOff>
    </xdr:to>
    <xdr:sp macro="" textlink="">
      <xdr:nvSpPr>
        <xdr:cNvPr id="44" name="图文框 43"/>
        <xdr:cNvSpPr/>
      </xdr:nvSpPr>
      <xdr:spPr>
        <a:xfrm>
          <a:off x="4972050" y="1438274"/>
          <a:ext cx="228600" cy="657225"/>
        </a:xfrm>
        <a:prstGeom prst="frame">
          <a:avLst/>
        </a:prstGeom>
        <a:ln>
          <a:solidFill>
            <a:srgbClr val="00B0F0"/>
          </a:solidFill>
        </a:ln>
      </xdr:spPr>
      <xdr:style>
        <a:lnRef idx="2">
          <a:schemeClr val="accent3"/>
        </a:lnRef>
        <a:fillRef idx="1">
          <a:schemeClr val="lt1"/>
        </a:fillRef>
        <a:effectRef idx="0">
          <a:schemeClr val="accent3"/>
        </a:effectRef>
        <a:fontRef idx="minor">
          <a:schemeClr val="dk1"/>
        </a:fontRef>
      </xdr:style>
      <xdr:txBody>
        <a:bodyPr vertOverflow="clip" rtlCol="0" anchor="ctr"/>
        <a:lstStyle/>
        <a:p>
          <a:pPr algn="ctr"/>
          <a:endParaRPr lang="zh-CN" altLang="en-US" sz="1100">
            <a:solidFill>
              <a:schemeClr val="tx1"/>
            </a:solidFill>
          </a:endParaRPr>
        </a:p>
      </xdr:txBody>
    </xdr:sp>
    <xdr:clientData/>
  </xdr:twoCellAnchor>
  <xdr:twoCellAnchor>
    <xdr:from>
      <xdr:col>3</xdr:col>
      <xdr:colOff>38100</xdr:colOff>
      <xdr:row>9</xdr:row>
      <xdr:rowOff>47625</xdr:rowOff>
    </xdr:from>
    <xdr:to>
      <xdr:col>3</xdr:col>
      <xdr:colOff>38100</xdr:colOff>
      <xdr:row>11</xdr:row>
      <xdr:rowOff>238125</xdr:rowOff>
    </xdr:to>
    <xdr:cxnSp macro="">
      <xdr:nvCxnSpPr>
        <xdr:cNvPr id="34" name="直接连接符 33"/>
        <xdr:cNvCxnSpPr/>
      </xdr:nvCxnSpPr>
      <xdr:spPr>
        <a:xfrm>
          <a:off x="3743325" y="1800225"/>
          <a:ext cx="0" cy="685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800100</xdr:colOff>
      <xdr:row>9</xdr:row>
      <xdr:rowOff>57150</xdr:rowOff>
    </xdr:from>
    <xdr:to>
      <xdr:col>3</xdr:col>
      <xdr:colOff>800100</xdr:colOff>
      <xdr:row>12</xdr:row>
      <xdr:rowOff>0</xdr:rowOff>
    </xdr:to>
    <xdr:cxnSp macro="">
      <xdr:nvCxnSpPr>
        <xdr:cNvPr id="35" name="直接连接符 34"/>
        <xdr:cNvCxnSpPr/>
      </xdr:nvCxnSpPr>
      <xdr:spPr>
        <a:xfrm>
          <a:off x="4505325" y="1809750"/>
          <a:ext cx="0" cy="685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xdr:colOff>
      <xdr:row>9</xdr:row>
      <xdr:rowOff>47625</xdr:rowOff>
    </xdr:from>
    <xdr:to>
      <xdr:col>4</xdr:col>
      <xdr:colOff>38100</xdr:colOff>
      <xdr:row>11</xdr:row>
      <xdr:rowOff>238125</xdr:rowOff>
    </xdr:to>
    <xdr:cxnSp macro="">
      <xdr:nvCxnSpPr>
        <xdr:cNvPr id="36" name="直接连接符 35"/>
        <xdr:cNvCxnSpPr/>
      </xdr:nvCxnSpPr>
      <xdr:spPr>
        <a:xfrm>
          <a:off x="5086350" y="2295525"/>
          <a:ext cx="0" cy="685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xdr:colOff>
      <xdr:row>11</xdr:row>
      <xdr:rowOff>190500</xdr:rowOff>
    </xdr:from>
    <xdr:to>
      <xdr:col>3</xdr:col>
      <xdr:colOff>809625</xdr:colOff>
      <xdr:row>11</xdr:row>
      <xdr:rowOff>190500</xdr:rowOff>
    </xdr:to>
    <xdr:cxnSp macro="">
      <xdr:nvCxnSpPr>
        <xdr:cNvPr id="41" name="直接箭头连接符 40"/>
        <xdr:cNvCxnSpPr/>
      </xdr:nvCxnSpPr>
      <xdr:spPr>
        <a:xfrm>
          <a:off x="3733800" y="2438400"/>
          <a:ext cx="781050" cy="0"/>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790575</xdr:colOff>
      <xdr:row>11</xdr:row>
      <xdr:rowOff>200025</xdr:rowOff>
    </xdr:from>
    <xdr:to>
      <xdr:col>4</xdr:col>
      <xdr:colOff>47625</xdr:colOff>
      <xdr:row>11</xdr:row>
      <xdr:rowOff>200025</xdr:rowOff>
    </xdr:to>
    <xdr:cxnSp macro="">
      <xdr:nvCxnSpPr>
        <xdr:cNvPr id="42" name="直接箭头连接符 41"/>
        <xdr:cNvCxnSpPr/>
      </xdr:nvCxnSpPr>
      <xdr:spPr>
        <a:xfrm>
          <a:off x="4495800" y="2447925"/>
          <a:ext cx="600075" cy="0"/>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323850</xdr:colOff>
      <xdr:row>11</xdr:row>
      <xdr:rowOff>114300</xdr:rowOff>
    </xdr:from>
    <xdr:ext cx="295209" cy="374141"/>
    <xdr:sp macro="" textlink="">
      <xdr:nvSpPr>
        <xdr:cNvPr id="51" name="TextBox 50"/>
        <xdr:cNvSpPr txBox="1"/>
      </xdr:nvSpPr>
      <xdr:spPr>
        <a:xfrm>
          <a:off x="4029075" y="2362200"/>
          <a:ext cx="29520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800"/>
            <a:t>a</a:t>
          </a:r>
          <a:endParaRPr lang="zh-CN" altLang="en-US" sz="1800"/>
        </a:p>
      </xdr:txBody>
    </xdr:sp>
    <xdr:clientData/>
  </xdr:oneCellAnchor>
  <xdr:oneCellAnchor>
    <xdr:from>
      <xdr:col>3</xdr:col>
      <xdr:colOff>971550</xdr:colOff>
      <xdr:row>11</xdr:row>
      <xdr:rowOff>133350</xdr:rowOff>
    </xdr:from>
    <xdr:ext cx="305918" cy="374141"/>
    <xdr:sp macro="" textlink="">
      <xdr:nvSpPr>
        <xdr:cNvPr id="52" name="TextBox 51"/>
        <xdr:cNvSpPr txBox="1"/>
      </xdr:nvSpPr>
      <xdr:spPr>
        <a:xfrm>
          <a:off x="4676775" y="2381250"/>
          <a:ext cx="30591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800"/>
            <a:t>b</a:t>
          </a:r>
          <a:endParaRPr lang="zh-CN" altLang="en-US" sz="1800"/>
        </a:p>
      </xdr:txBody>
    </xdr:sp>
    <xdr:clientData/>
  </xdr:oneCellAnchor>
  <xdr:twoCellAnchor>
    <xdr:from>
      <xdr:col>3</xdr:col>
      <xdr:colOff>1038225</xdr:colOff>
      <xdr:row>6</xdr:row>
      <xdr:rowOff>142875</xdr:rowOff>
    </xdr:from>
    <xdr:to>
      <xdr:col>3</xdr:col>
      <xdr:colOff>1038225</xdr:colOff>
      <xdr:row>11</xdr:row>
      <xdr:rowOff>209550</xdr:rowOff>
    </xdr:to>
    <xdr:cxnSp macro="">
      <xdr:nvCxnSpPr>
        <xdr:cNvPr id="58" name="直接箭头连接符 57"/>
        <xdr:cNvCxnSpPr/>
      </xdr:nvCxnSpPr>
      <xdr:spPr>
        <a:xfrm>
          <a:off x="4743450" y="1152525"/>
          <a:ext cx="0" cy="1304925"/>
        </a:xfrm>
        <a:prstGeom prst="straightConnector1">
          <a:avLst/>
        </a:prstGeom>
        <a:ln>
          <a:solidFill>
            <a:sysClr val="windowText" lastClr="00000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800100</xdr:colOff>
      <xdr:row>8</xdr:row>
      <xdr:rowOff>104775</xdr:rowOff>
    </xdr:from>
    <xdr:ext cx="305918" cy="374141"/>
    <xdr:sp macro="" textlink="">
      <xdr:nvSpPr>
        <xdr:cNvPr id="59" name="TextBox 58"/>
        <xdr:cNvSpPr txBox="1"/>
      </xdr:nvSpPr>
      <xdr:spPr>
        <a:xfrm>
          <a:off x="4505325" y="1609725"/>
          <a:ext cx="30591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800"/>
            <a:t>d</a:t>
          </a:r>
          <a:endParaRPr lang="zh-CN" altLang="en-US" sz="1800"/>
        </a:p>
      </xdr:txBody>
    </xdr:sp>
    <xdr:clientData/>
  </xdr:oneCellAnchor>
  <xdr:twoCellAnchor>
    <xdr:from>
      <xdr:col>3</xdr:col>
      <xdr:colOff>733425</xdr:colOff>
      <xdr:row>6</xdr:row>
      <xdr:rowOff>152405</xdr:rowOff>
    </xdr:from>
    <xdr:to>
      <xdr:col>3</xdr:col>
      <xdr:colOff>838200</xdr:colOff>
      <xdr:row>7</xdr:row>
      <xdr:rowOff>152400</xdr:rowOff>
    </xdr:to>
    <xdr:cxnSp macro="">
      <xdr:nvCxnSpPr>
        <xdr:cNvPr id="33" name="直接箭头连接符 32"/>
        <xdr:cNvCxnSpPr/>
      </xdr:nvCxnSpPr>
      <xdr:spPr>
        <a:xfrm flipV="1">
          <a:off x="4438650" y="1657355"/>
          <a:ext cx="104775" cy="247645"/>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57146</xdr:colOff>
      <xdr:row>51</xdr:row>
      <xdr:rowOff>247648</xdr:rowOff>
    </xdr:from>
    <xdr:to>
      <xdr:col>4</xdr:col>
      <xdr:colOff>352423</xdr:colOff>
      <xdr:row>65</xdr:row>
      <xdr:rowOff>171450</xdr:rowOff>
    </xdr:to>
    <xdr:sp macro="" textlink="">
      <xdr:nvSpPr>
        <xdr:cNvPr id="67" name="手杖形箭头 66"/>
        <xdr:cNvSpPr/>
      </xdr:nvSpPr>
      <xdr:spPr>
        <a:xfrm rot="-5400000" flipV="1">
          <a:off x="3557584" y="14444660"/>
          <a:ext cx="3390902" cy="295277"/>
        </a:xfrm>
        <a:prstGeom prst="uturnArrow">
          <a:avLst>
            <a:gd name="adj1" fmla="val 25000"/>
            <a:gd name="adj2" fmla="val 23387"/>
            <a:gd name="adj3" fmla="val 31452"/>
            <a:gd name="adj4" fmla="val 43750"/>
            <a:gd name="adj5" fmla="val 100000"/>
          </a:avLst>
        </a:prstGeom>
      </xdr:spPr>
      <xdr:style>
        <a:lnRef idx="1">
          <a:schemeClr val="accent3"/>
        </a:lnRef>
        <a:fillRef idx="3">
          <a:schemeClr val="accent3"/>
        </a:fillRef>
        <a:effectRef idx="2">
          <a:schemeClr val="accent3"/>
        </a:effectRef>
        <a:fontRef idx="minor">
          <a:schemeClr val="lt1"/>
        </a:fontRef>
      </xdr:style>
      <xdr:txBody>
        <a:bodyPr vertOverflow="clip" rtlCol="0" anchor="ctr"/>
        <a:lstStyle/>
        <a:p>
          <a:pPr algn="ctr"/>
          <a:endParaRPr lang="zh-CN" altLang="en-US" sz="1100">
            <a:solidFill>
              <a:schemeClr val="tx1"/>
            </a:solidFill>
          </a:endParaRPr>
        </a:p>
      </xdr:txBody>
    </xdr:sp>
    <xdr:clientData/>
  </xdr:twoCellAnchor>
  <xdr:oneCellAnchor>
    <xdr:from>
      <xdr:col>3</xdr:col>
      <xdr:colOff>1249986</xdr:colOff>
      <xdr:row>53</xdr:row>
      <xdr:rowOff>47625</xdr:rowOff>
    </xdr:from>
    <xdr:ext cx="476862" cy="2825453"/>
    <xdr:sp macro="" textlink="">
      <xdr:nvSpPr>
        <xdr:cNvPr id="68" name="TextBox 67"/>
        <xdr:cNvSpPr txBox="1"/>
      </xdr:nvSpPr>
      <xdr:spPr>
        <a:xfrm>
          <a:off x="4955211" y="12696825"/>
          <a:ext cx="476862" cy="2825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wordArtVertRtl" wrap="none" rtlCol="0" anchor="t">
          <a:spAutoFit/>
        </a:bodyPr>
        <a:lstStyle/>
        <a:p>
          <a:r>
            <a:rPr lang="zh-CN" altLang="en-US" sz="1600" b="1" i="0">
              <a:solidFill>
                <a:srgbClr val="FFC000"/>
              </a:solidFill>
            </a:rPr>
            <a:t>若不合格则重新选择型号</a:t>
          </a:r>
        </a:p>
      </xdr:txBody>
    </xdr:sp>
    <xdr:clientData/>
  </xdr:oneCellAnchor>
  <xdr:twoCellAnchor>
    <xdr:from>
      <xdr:col>4</xdr:col>
      <xdr:colOff>57146</xdr:colOff>
      <xdr:row>78</xdr:row>
      <xdr:rowOff>76197</xdr:rowOff>
    </xdr:from>
    <xdr:to>
      <xdr:col>4</xdr:col>
      <xdr:colOff>352423</xdr:colOff>
      <xdr:row>93</xdr:row>
      <xdr:rowOff>142874</xdr:rowOff>
    </xdr:to>
    <xdr:sp macro="" textlink="">
      <xdr:nvSpPr>
        <xdr:cNvPr id="69" name="手杖形箭头 68"/>
        <xdr:cNvSpPr/>
      </xdr:nvSpPr>
      <xdr:spPr>
        <a:xfrm rot="-5400000" flipV="1">
          <a:off x="3362321" y="21155022"/>
          <a:ext cx="3781427" cy="295277"/>
        </a:xfrm>
        <a:prstGeom prst="uturnArrow">
          <a:avLst>
            <a:gd name="adj1" fmla="val 25000"/>
            <a:gd name="adj2" fmla="val 23387"/>
            <a:gd name="adj3" fmla="val 31452"/>
            <a:gd name="adj4" fmla="val 43750"/>
            <a:gd name="adj5" fmla="val 100000"/>
          </a:avLst>
        </a:prstGeom>
      </xdr:spPr>
      <xdr:style>
        <a:lnRef idx="1">
          <a:schemeClr val="accent3"/>
        </a:lnRef>
        <a:fillRef idx="3">
          <a:schemeClr val="accent3"/>
        </a:fillRef>
        <a:effectRef idx="2">
          <a:schemeClr val="accent3"/>
        </a:effectRef>
        <a:fontRef idx="minor">
          <a:schemeClr val="lt1"/>
        </a:fontRef>
      </xdr:style>
      <xdr:txBody>
        <a:bodyPr vertOverflow="clip" rtlCol="0" anchor="ctr"/>
        <a:lstStyle/>
        <a:p>
          <a:pPr algn="ctr"/>
          <a:endParaRPr lang="zh-CN" altLang="en-US" sz="1100">
            <a:solidFill>
              <a:schemeClr val="tx1"/>
            </a:solidFill>
          </a:endParaRPr>
        </a:p>
      </xdr:txBody>
    </xdr:sp>
    <xdr:clientData/>
  </xdr:twoCellAnchor>
  <xdr:oneCellAnchor>
    <xdr:from>
      <xdr:col>3</xdr:col>
      <xdr:colOff>1249986</xdr:colOff>
      <xdr:row>80</xdr:row>
      <xdr:rowOff>0</xdr:rowOff>
    </xdr:from>
    <xdr:ext cx="476862" cy="3150856"/>
    <xdr:sp macro="" textlink="">
      <xdr:nvSpPr>
        <xdr:cNvPr id="70" name="TextBox 69"/>
        <xdr:cNvSpPr txBox="1"/>
      </xdr:nvSpPr>
      <xdr:spPr>
        <a:xfrm>
          <a:off x="4955211" y="19335750"/>
          <a:ext cx="476862" cy="3150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wordArtVertRtl" wrap="square" rtlCol="0" anchor="t">
          <a:noAutofit/>
        </a:bodyPr>
        <a:lstStyle/>
        <a:p>
          <a:r>
            <a:rPr lang="zh-CN" altLang="en-US" sz="1600" b="1" i="0">
              <a:solidFill>
                <a:srgbClr val="FFC000"/>
              </a:solidFill>
            </a:rPr>
            <a:t>若不合格则重新选择型号</a:t>
          </a:r>
        </a:p>
      </xdr:txBody>
    </xdr:sp>
    <xdr:clientData/>
  </xdr:oneCellAnchor>
  <xdr:twoCellAnchor>
    <xdr:from>
      <xdr:col>4</xdr:col>
      <xdr:colOff>57146</xdr:colOff>
      <xdr:row>22</xdr:row>
      <xdr:rowOff>19048</xdr:rowOff>
    </xdr:from>
    <xdr:to>
      <xdr:col>4</xdr:col>
      <xdr:colOff>352423</xdr:colOff>
      <xdr:row>31</xdr:row>
      <xdr:rowOff>57150</xdr:rowOff>
    </xdr:to>
    <xdr:sp macro="" textlink="">
      <xdr:nvSpPr>
        <xdr:cNvPr id="71" name="手杖形箭头 70"/>
        <xdr:cNvSpPr/>
      </xdr:nvSpPr>
      <xdr:spPr>
        <a:xfrm rot="-5400000" flipV="1">
          <a:off x="4119559" y="6472235"/>
          <a:ext cx="2266952" cy="295277"/>
        </a:xfrm>
        <a:prstGeom prst="uturnArrow">
          <a:avLst>
            <a:gd name="adj1" fmla="val 25000"/>
            <a:gd name="adj2" fmla="val 23387"/>
            <a:gd name="adj3" fmla="val 31452"/>
            <a:gd name="adj4" fmla="val 43750"/>
            <a:gd name="adj5" fmla="val 100000"/>
          </a:avLst>
        </a:prstGeom>
      </xdr:spPr>
      <xdr:style>
        <a:lnRef idx="1">
          <a:schemeClr val="accent3"/>
        </a:lnRef>
        <a:fillRef idx="3">
          <a:schemeClr val="accent3"/>
        </a:fillRef>
        <a:effectRef idx="2">
          <a:schemeClr val="accent3"/>
        </a:effectRef>
        <a:fontRef idx="minor">
          <a:schemeClr val="lt1"/>
        </a:fontRef>
      </xdr:style>
      <xdr:txBody>
        <a:bodyPr vertOverflow="clip" rtlCol="0" anchor="ctr"/>
        <a:lstStyle/>
        <a:p>
          <a:pPr algn="ctr"/>
          <a:endParaRPr lang="zh-CN" altLang="en-US" sz="1100">
            <a:solidFill>
              <a:schemeClr val="tx1"/>
            </a:solidFill>
          </a:endParaRPr>
        </a:p>
      </xdr:txBody>
    </xdr:sp>
    <xdr:clientData/>
  </xdr:twoCellAnchor>
  <xdr:oneCellAnchor>
    <xdr:from>
      <xdr:col>3</xdr:col>
      <xdr:colOff>1202361</xdr:colOff>
      <xdr:row>22</xdr:row>
      <xdr:rowOff>133351</xdr:rowOff>
    </xdr:from>
    <xdr:ext cx="476862" cy="2184202"/>
    <xdr:sp macro="" textlink="">
      <xdr:nvSpPr>
        <xdr:cNvPr id="72" name="TextBox 71"/>
        <xdr:cNvSpPr txBox="1"/>
      </xdr:nvSpPr>
      <xdr:spPr>
        <a:xfrm>
          <a:off x="4907586" y="5105401"/>
          <a:ext cx="476862" cy="2184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wordArtVertRtl" wrap="square" rtlCol="0" anchor="t">
          <a:noAutofit/>
        </a:bodyPr>
        <a:lstStyle/>
        <a:p>
          <a:r>
            <a:rPr lang="zh-CN" altLang="en-US" sz="1400" b="1" i="0">
              <a:solidFill>
                <a:srgbClr val="FFC000"/>
              </a:solidFill>
            </a:rPr>
            <a:t>将此值填入再次计算</a:t>
          </a:r>
        </a:p>
      </xdr:txBody>
    </xdr:sp>
    <xdr:clientData/>
  </xdr:oneCellAnchor>
  <xdr:twoCellAnchor editAs="oneCell">
    <xdr:from>
      <xdr:col>3</xdr:col>
      <xdr:colOff>9525</xdr:colOff>
      <xdr:row>14</xdr:row>
      <xdr:rowOff>9525</xdr:rowOff>
    </xdr:from>
    <xdr:to>
      <xdr:col>4</xdr:col>
      <xdr:colOff>405547</xdr:colOff>
      <xdr:row>17</xdr:row>
      <xdr:rowOff>228601</xdr:rowOff>
    </xdr:to>
    <xdr:pic>
      <xdr:nvPicPr>
        <xdr:cNvPr id="2" name="Picture 35"/>
        <xdr:cNvPicPr>
          <a:picLocks noChangeAspect="1" noChangeArrowheads="1"/>
        </xdr:cNvPicPr>
      </xdr:nvPicPr>
      <xdr:blipFill>
        <a:blip xmlns:r="http://schemas.openxmlformats.org/officeDocument/2006/relationships" r:embed="rId14" cstate="print"/>
        <a:srcRect/>
        <a:stretch>
          <a:fillRect/>
        </a:stretch>
      </xdr:blipFill>
      <xdr:spPr bwMode="auto">
        <a:xfrm>
          <a:off x="3714750" y="3495675"/>
          <a:ext cx="1739047" cy="962026"/>
        </a:xfrm>
        <a:prstGeom prst="rect">
          <a:avLst/>
        </a:prstGeom>
        <a:noFill/>
        <a:ln w="1">
          <a:noFill/>
          <a:miter lim="800000"/>
          <a:headEnd/>
          <a:tailEnd type="none" w="med" len="med"/>
        </a:ln>
        <a:effectLst/>
      </xdr:spPr>
    </xdr:pic>
    <xdr:clientData/>
  </xdr:twoCellAnchor>
  <xdr:twoCellAnchor>
    <xdr:from>
      <xdr:col>3</xdr:col>
      <xdr:colOff>876301</xdr:colOff>
      <xdr:row>14</xdr:row>
      <xdr:rowOff>38100</xdr:rowOff>
    </xdr:from>
    <xdr:to>
      <xdr:col>4</xdr:col>
      <xdr:colOff>38100</xdr:colOff>
      <xdr:row>14</xdr:row>
      <xdr:rowOff>38100</xdr:rowOff>
    </xdr:to>
    <xdr:cxnSp macro="">
      <xdr:nvCxnSpPr>
        <xdr:cNvPr id="46" name="直接箭头连接符 45"/>
        <xdr:cNvCxnSpPr/>
      </xdr:nvCxnSpPr>
      <xdr:spPr>
        <a:xfrm flipH="1">
          <a:off x="4581526" y="3028950"/>
          <a:ext cx="504824" cy="0"/>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190500</xdr:colOff>
      <xdr:row>15</xdr:row>
      <xdr:rowOff>95250</xdr:rowOff>
    </xdr:from>
    <xdr:ext cx="1323975" cy="286066"/>
    <xdr:sp macro="" textlink="">
      <xdr:nvSpPr>
        <xdr:cNvPr id="53" name="TextBox 52"/>
        <xdr:cNvSpPr txBox="1"/>
      </xdr:nvSpPr>
      <xdr:spPr>
        <a:xfrm>
          <a:off x="3895725" y="3829050"/>
          <a:ext cx="1323975" cy="286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prstTxWarp prst="textStop">
            <a:avLst/>
          </a:prstTxWarp>
          <a:spAutoFit/>
        </a:bodyPr>
        <a:lstStyle/>
        <a:p>
          <a:r>
            <a:rPr lang="zh-CN" altLang="en-US" sz="1400" b="0">
              <a:solidFill>
                <a:srgbClr val="FF0000"/>
              </a:solidFill>
              <a:latin typeface="微软雅黑" pitchFamily="34" charset="-122"/>
              <a:ea typeface="微软雅黑" pitchFamily="34" charset="-122"/>
            </a:rPr>
            <a:t>左侧</a:t>
          </a:r>
          <a:r>
            <a:rPr lang="zh-CN" altLang="en-US" sz="1400">
              <a:solidFill>
                <a:srgbClr val="FF0000"/>
              </a:solidFill>
              <a:latin typeface="微软雅黑" pitchFamily="34" charset="-122"/>
              <a:ea typeface="微软雅黑" pitchFamily="34" charset="-122"/>
            </a:rPr>
            <a:t>轴承被压紧</a:t>
          </a:r>
        </a:p>
      </xdr:txBody>
    </xdr:sp>
    <xdr:clientData/>
  </xdr:oneCellAnchor>
  <xdr:oneCellAnchor>
    <xdr:from>
      <xdr:col>3</xdr:col>
      <xdr:colOff>942975</xdr:colOff>
      <xdr:row>13</xdr:row>
      <xdr:rowOff>238125</xdr:rowOff>
    </xdr:from>
    <xdr:ext cx="442493" cy="311496"/>
    <xdr:sp macro="" textlink="">
      <xdr:nvSpPr>
        <xdr:cNvPr id="54" name="TextBox 53"/>
        <xdr:cNvSpPr txBox="1"/>
      </xdr:nvSpPr>
      <xdr:spPr>
        <a:xfrm>
          <a:off x="4648200" y="2981325"/>
          <a:ext cx="4424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400"/>
            <a:t>Fae</a:t>
          </a:r>
          <a:endParaRPr lang="zh-CN" altLang="en-US" sz="1400"/>
        </a:p>
      </xdr:txBody>
    </xdr:sp>
    <xdr:clientData/>
  </xdr:oneCellAnchor>
  <xdr:twoCellAnchor>
    <xdr:from>
      <xdr:col>3</xdr:col>
      <xdr:colOff>876301</xdr:colOff>
      <xdr:row>18</xdr:row>
      <xdr:rowOff>47625</xdr:rowOff>
    </xdr:from>
    <xdr:to>
      <xdr:col>4</xdr:col>
      <xdr:colOff>38100</xdr:colOff>
      <xdr:row>18</xdr:row>
      <xdr:rowOff>47625</xdr:rowOff>
    </xdr:to>
    <xdr:cxnSp macro="">
      <xdr:nvCxnSpPr>
        <xdr:cNvPr id="55" name="直接箭头连接符 54"/>
        <xdr:cNvCxnSpPr/>
      </xdr:nvCxnSpPr>
      <xdr:spPr>
        <a:xfrm flipH="1">
          <a:off x="4581526" y="4524375"/>
          <a:ext cx="504824" cy="0"/>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933450</xdr:colOff>
      <xdr:row>18</xdr:row>
      <xdr:rowOff>9525</xdr:rowOff>
    </xdr:from>
    <xdr:ext cx="442493" cy="311496"/>
    <xdr:sp macro="" textlink="">
      <xdr:nvSpPr>
        <xdr:cNvPr id="56" name="TextBox 55"/>
        <xdr:cNvSpPr txBox="1"/>
      </xdr:nvSpPr>
      <xdr:spPr>
        <a:xfrm>
          <a:off x="4638675" y="4486275"/>
          <a:ext cx="4424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400"/>
            <a:t>Fae</a:t>
          </a:r>
          <a:endParaRPr lang="zh-CN" altLang="en-US" sz="1400"/>
        </a:p>
      </xdr:txBody>
    </xdr:sp>
    <xdr:clientData/>
  </xdr:oneCellAnchor>
  <xdr:oneCellAnchor>
    <xdr:from>
      <xdr:col>3</xdr:col>
      <xdr:colOff>542925</xdr:colOff>
      <xdr:row>16</xdr:row>
      <xdr:rowOff>161925</xdr:rowOff>
    </xdr:from>
    <xdr:ext cx="889987" cy="334451"/>
    <xdr:sp macro="" textlink="">
      <xdr:nvSpPr>
        <xdr:cNvPr id="60" name="TextBox 59"/>
        <xdr:cNvSpPr txBox="1"/>
      </xdr:nvSpPr>
      <xdr:spPr>
        <a:xfrm>
          <a:off x="4248150" y="4143375"/>
          <a:ext cx="889987" cy="334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100" i="0">
              <a:effectLst>
                <a:glow rad="228600">
                  <a:schemeClr val="accent6">
                    <a:satMod val="175000"/>
                    <a:alpha val="40000"/>
                  </a:schemeClr>
                </a:glow>
              </a:effectLst>
              <a:latin typeface="微软雅黑" pitchFamily="34" charset="-122"/>
              <a:ea typeface="微软雅黑" pitchFamily="34" charset="-122"/>
            </a:rPr>
            <a:t>面朝面安装</a:t>
          </a:r>
        </a:p>
      </xdr:txBody>
    </xdr:sp>
    <xdr:clientData/>
  </xdr:oneCellAnchor>
  <xdr:oneCellAnchor>
    <xdr:from>
      <xdr:col>3</xdr:col>
      <xdr:colOff>533401</xdr:colOff>
      <xdr:row>20</xdr:row>
      <xdr:rowOff>190500</xdr:rowOff>
    </xdr:from>
    <xdr:ext cx="889987" cy="334451"/>
    <xdr:sp macro="" textlink="">
      <xdr:nvSpPr>
        <xdr:cNvPr id="61" name="TextBox 60"/>
        <xdr:cNvSpPr txBox="1"/>
      </xdr:nvSpPr>
      <xdr:spPr>
        <a:xfrm>
          <a:off x="4238626" y="5162550"/>
          <a:ext cx="889987" cy="334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100">
              <a:effectLst>
                <a:glow rad="228600">
                  <a:schemeClr val="accent6">
                    <a:satMod val="175000"/>
                    <a:alpha val="40000"/>
                  </a:schemeClr>
                </a:glow>
              </a:effectLst>
              <a:latin typeface="微软雅黑" pitchFamily="34" charset="-122"/>
              <a:ea typeface="微软雅黑" pitchFamily="34" charset="-122"/>
            </a:rPr>
            <a:t>背靠背安装</a:t>
          </a:r>
        </a:p>
      </xdr:txBody>
    </xdr:sp>
    <xdr:clientData/>
  </xdr:oneCellAnchor>
  <xdr:oneCellAnchor>
    <xdr:from>
      <xdr:col>3</xdr:col>
      <xdr:colOff>200025</xdr:colOff>
      <xdr:row>19</xdr:row>
      <xdr:rowOff>104775</xdr:rowOff>
    </xdr:from>
    <xdr:ext cx="1323975" cy="286066"/>
    <xdr:sp macro="" textlink="">
      <xdr:nvSpPr>
        <xdr:cNvPr id="62" name="TextBox 61"/>
        <xdr:cNvSpPr txBox="1"/>
      </xdr:nvSpPr>
      <xdr:spPr>
        <a:xfrm>
          <a:off x="3905250" y="4829175"/>
          <a:ext cx="1323975" cy="286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prstTxWarp prst="textStop">
            <a:avLst/>
          </a:prstTxWarp>
          <a:spAutoFit/>
        </a:bodyPr>
        <a:lstStyle/>
        <a:p>
          <a:r>
            <a:rPr lang="zh-CN" altLang="en-US" sz="1400" b="0">
              <a:solidFill>
                <a:srgbClr val="00B050"/>
              </a:solidFill>
              <a:latin typeface="微软雅黑" pitchFamily="34" charset="-122"/>
              <a:ea typeface="微软雅黑" pitchFamily="34" charset="-122"/>
            </a:rPr>
            <a:t>右侧</a:t>
          </a:r>
          <a:r>
            <a:rPr lang="zh-CN" altLang="en-US" sz="1400">
              <a:solidFill>
                <a:srgbClr val="00B050"/>
              </a:solidFill>
              <a:latin typeface="微软雅黑" pitchFamily="34" charset="-122"/>
              <a:ea typeface="微软雅黑" pitchFamily="34" charset="-122"/>
            </a:rPr>
            <a:t>轴承被压紧</a:t>
          </a:r>
        </a:p>
      </xdr:txBody>
    </xdr:sp>
    <xdr:clientData/>
  </xdr:oneCellAnchor>
  <xdr:twoCellAnchor editAs="oneCell">
    <xdr:from>
      <xdr:col>6</xdr:col>
      <xdr:colOff>647699</xdr:colOff>
      <xdr:row>38</xdr:row>
      <xdr:rowOff>238126</xdr:rowOff>
    </xdr:from>
    <xdr:to>
      <xdr:col>7</xdr:col>
      <xdr:colOff>342899</xdr:colOff>
      <xdr:row>41</xdr:row>
      <xdr:rowOff>11372</xdr:rowOff>
    </xdr:to>
    <xdr:pic>
      <xdr:nvPicPr>
        <xdr:cNvPr id="32809" name="Picture 41"/>
        <xdr:cNvPicPr>
          <a:picLocks noChangeAspect="1" noChangeArrowheads="1"/>
        </xdr:cNvPicPr>
      </xdr:nvPicPr>
      <xdr:blipFill>
        <a:blip xmlns:r="http://schemas.openxmlformats.org/officeDocument/2006/relationships" r:embed="rId15" cstate="print"/>
        <a:srcRect/>
        <a:stretch>
          <a:fillRect/>
        </a:stretch>
      </xdr:blipFill>
      <xdr:spPr bwMode="auto">
        <a:xfrm>
          <a:off x="6934199" y="9667876"/>
          <a:ext cx="504825" cy="516196"/>
        </a:xfrm>
        <a:prstGeom prst="rect">
          <a:avLst/>
        </a:prstGeom>
        <a:noFill/>
        <a:ln w="1">
          <a:noFill/>
          <a:miter lim="800000"/>
          <a:headEnd/>
          <a:tailEnd type="none" w="med" len="med"/>
        </a:ln>
        <a:effectLst/>
      </xdr:spPr>
    </xdr:pic>
    <xdr:clientData/>
  </xdr:twoCellAnchor>
  <xdr:twoCellAnchor editAs="oneCell">
    <xdr:from>
      <xdr:col>7</xdr:col>
      <xdr:colOff>533400</xdr:colOff>
      <xdr:row>37</xdr:row>
      <xdr:rowOff>185817</xdr:rowOff>
    </xdr:from>
    <xdr:to>
      <xdr:col>8</xdr:col>
      <xdr:colOff>195533</xdr:colOff>
      <xdr:row>39</xdr:row>
      <xdr:rowOff>114300</xdr:rowOff>
    </xdr:to>
    <xdr:pic>
      <xdr:nvPicPr>
        <xdr:cNvPr id="32810" name="Picture 42"/>
        <xdr:cNvPicPr>
          <a:picLocks noChangeAspect="1" noChangeArrowheads="1"/>
        </xdr:cNvPicPr>
      </xdr:nvPicPr>
      <xdr:blipFill>
        <a:blip xmlns:r="http://schemas.openxmlformats.org/officeDocument/2006/relationships" r:embed="rId16" cstate="print"/>
        <a:srcRect/>
        <a:stretch>
          <a:fillRect/>
        </a:stretch>
      </xdr:blipFill>
      <xdr:spPr bwMode="auto">
        <a:xfrm>
          <a:off x="7629525" y="9367917"/>
          <a:ext cx="471758" cy="423783"/>
        </a:xfrm>
        <a:prstGeom prst="rect">
          <a:avLst/>
        </a:prstGeom>
        <a:noFill/>
        <a:ln w="1">
          <a:noFill/>
          <a:miter lim="800000"/>
          <a:headEnd/>
          <a:tailEnd type="none" w="med" len="med"/>
        </a:ln>
        <a:effectLst/>
      </xdr:spPr>
    </xdr:pic>
    <xdr:clientData/>
  </xdr:twoCellAnchor>
  <xdr:twoCellAnchor editAs="oneCell">
    <xdr:from>
      <xdr:col>6</xdr:col>
      <xdr:colOff>666750</xdr:colOff>
      <xdr:row>36</xdr:row>
      <xdr:rowOff>238125</xdr:rowOff>
    </xdr:from>
    <xdr:to>
      <xdr:col>7</xdr:col>
      <xdr:colOff>353808</xdr:colOff>
      <xdr:row>38</xdr:row>
      <xdr:rowOff>132627</xdr:rowOff>
    </xdr:to>
    <xdr:pic>
      <xdr:nvPicPr>
        <xdr:cNvPr id="32811" name="Picture 43"/>
        <xdr:cNvPicPr>
          <a:picLocks noChangeAspect="1" noChangeArrowheads="1"/>
        </xdr:cNvPicPr>
      </xdr:nvPicPr>
      <xdr:blipFill>
        <a:blip xmlns:r="http://schemas.openxmlformats.org/officeDocument/2006/relationships" r:embed="rId17" cstate="print"/>
        <a:srcRect/>
        <a:stretch>
          <a:fillRect/>
        </a:stretch>
      </xdr:blipFill>
      <xdr:spPr bwMode="auto">
        <a:xfrm>
          <a:off x="6953250" y="9172575"/>
          <a:ext cx="496683" cy="389802"/>
        </a:xfrm>
        <a:prstGeom prst="rect">
          <a:avLst/>
        </a:prstGeom>
        <a:noFill/>
        <a:ln w="1">
          <a:noFill/>
          <a:miter lim="800000"/>
          <a:headEnd/>
          <a:tailEnd type="none" w="med" len="med"/>
        </a:ln>
        <a:effectLst/>
      </xdr:spPr>
    </xdr:pic>
    <xdr:clientData/>
  </xdr:twoCellAnchor>
  <xdr:twoCellAnchor editAs="oneCell">
    <xdr:from>
      <xdr:col>5</xdr:col>
      <xdr:colOff>19050</xdr:colOff>
      <xdr:row>31</xdr:row>
      <xdr:rowOff>219075</xdr:rowOff>
    </xdr:from>
    <xdr:to>
      <xdr:col>5</xdr:col>
      <xdr:colOff>552450</xdr:colOff>
      <xdr:row>34</xdr:row>
      <xdr:rowOff>85725</xdr:rowOff>
    </xdr:to>
    <xdr:pic>
      <xdr:nvPicPr>
        <xdr:cNvPr id="32812" name="Picture 44"/>
        <xdr:cNvPicPr>
          <a:picLocks noChangeAspect="1" noChangeArrowheads="1"/>
        </xdr:cNvPicPr>
      </xdr:nvPicPr>
      <xdr:blipFill>
        <a:blip xmlns:r="http://schemas.openxmlformats.org/officeDocument/2006/relationships" r:embed="rId18" cstate="print"/>
        <a:srcRect/>
        <a:stretch>
          <a:fillRect/>
        </a:stretch>
      </xdr:blipFill>
      <xdr:spPr bwMode="auto">
        <a:xfrm>
          <a:off x="5495925" y="7915275"/>
          <a:ext cx="533400" cy="609600"/>
        </a:xfrm>
        <a:prstGeom prst="rect">
          <a:avLst/>
        </a:prstGeom>
        <a:noFill/>
        <a:ln w="1">
          <a:noFill/>
          <a:miter lim="800000"/>
          <a:headEnd/>
          <a:tailEnd type="none" w="med" len="med"/>
        </a:ln>
        <a:effectLst/>
      </xdr:spPr>
    </xdr:pic>
    <xdr:clientData/>
  </xdr:twoCellAnchor>
  <xdr:twoCellAnchor editAs="oneCell">
    <xdr:from>
      <xdr:col>5</xdr:col>
      <xdr:colOff>47625</xdr:colOff>
      <xdr:row>23</xdr:row>
      <xdr:rowOff>104775</xdr:rowOff>
    </xdr:from>
    <xdr:to>
      <xdr:col>5</xdr:col>
      <xdr:colOff>590550</xdr:colOff>
      <xdr:row>25</xdr:row>
      <xdr:rowOff>180975</xdr:rowOff>
    </xdr:to>
    <xdr:pic>
      <xdr:nvPicPr>
        <xdr:cNvPr id="32813" name="Picture 45"/>
        <xdr:cNvPicPr>
          <a:picLocks noChangeAspect="1" noChangeArrowheads="1"/>
        </xdr:cNvPicPr>
      </xdr:nvPicPr>
      <xdr:blipFill>
        <a:blip xmlns:r="http://schemas.openxmlformats.org/officeDocument/2006/relationships" r:embed="rId19" cstate="print"/>
        <a:srcRect/>
        <a:stretch>
          <a:fillRect/>
        </a:stretch>
      </xdr:blipFill>
      <xdr:spPr bwMode="auto">
        <a:xfrm>
          <a:off x="5524500" y="5819775"/>
          <a:ext cx="542925" cy="571500"/>
        </a:xfrm>
        <a:prstGeom prst="rect">
          <a:avLst/>
        </a:prstGeom>
        <a:noFill/>
        <a:ln w="1">
          <a:noFill/>
          <a:miter lim="800000"/>
          <a:headEnd/>
          <a:tailEnd type="none" w="med" len="med"/>
        </a:ln>
        <a:effectLst/>
      </xdr:spPr>
    </xdr:pic>
    <xdr:clientData/>
  </xdr:twoCellAnchor>
  <xdr:twoCellAnchor editAs="oneCell">
    <xdr:from>
      <xdr:col>5</xdr:col>
      <xdr:colOff>1</xdr:colOff>
      <xdr:row>139</xdr:row>
      <xdr:rowOff>1</xdr:rowOff>
    </xdr:from>
    <xdr:to>
      <xdr:col>12</xdr:col>
      <xdr:colOff>704850</xdr:colOff>
      <xdr:row>146</xdr:row>
      <xdr:rowOff>233081</xdr:rowOff>
    </xdr:to>
    <xdr:pic>
      <xdr:nvPicPr>
        <xdr:cNvPr id="32814" name="Picture 46"/>
        <xdr:cNvPicPr>
          <a:picLocks noChangeAspect="1" noChangeArrowheads="1"/>
        </xdr:cNvPicPr>
      </xdr:nvPicPr>
      <xdr:blipFill>
        <a:blip xmlns:r="http://schemas.openxmlformats.org/officeDocument/2006/relationships" r:embed="rId20" cstate="print"/>
        <a:srcRect/>
        <a:stretch>
          <a:fillRect/>
        </a:stretch>
      </xdr:blipFill>
      <xdr:spPr bwMode="auto">
        <a:xfrm>
          <a:off x="5476876" y="28498801"/>
          <a:ext cx="6372224" cy="1966630"/>
        </a:xfrm>
        <a:prstGeom prst="rect">
          <a:avLst/>
        </a:prstGeom>
        <a:noFill/>
        <a:ln w="1">
          <a:noFill/>
          <a:miter lim="800000"/>
          <a:headEnd/>
          <a:tailEnd type="none" w="med" len="med"/>
        </a:ln>
        <a:effectLst/>
      </xdr:spPr>
    </xdr:pic>
    <xdr:clientData/>
  </xdr:twoCellAnchor>
  <xdr:twoCellAnchor editAs="oneCell">
    <xdr:from>
      <xdr:col>12</xdr:col>
      <xdr:colOff>685800</xdr:colOff>
      <xdr:row>139</xdr:row>
      <xdr:rowOff>123825</xdr:rowOff>
    </xdr:from>
    <xdr:to>
      <xdr:col>16</xdr:col>
      <xdr:colOff>266700</xdr:colOff>
      <xdr:row>146</xdr:row>
      <xdr:rowOff>180975</xdr:rowOff>
    </xdr:to>
    <xdr:pic>
      <xdr:nvPicPr>
        <xdr:cNvPr id="32815" name="Picture 47"/>
        <xdr:cNvPicPr>
          <a:picLocks noChangeAspect="1" noChangeArrowheads="1"/>
        </xdr:cNvPicPr>
      </xdr:nvPicPr>
      <xdr:blipFill>
        <a:blip xmlns:r="http://schemas.openxmlformats.org/officeDocument/2006/relationships" r:embed="rId21" cstate="print"/>
        <a:srcRect/>
        <a:stretch>
          <a:fillRect/>
        </a:stretch>
      </xdr:blipFill>
      <xdr:spPr bwMode="auto">
        <a:xfrm>
          <a:off x="11830050" y="28622625"/>
          <a:ext cx="3324225" cy="1790700"/>
        </a:xfrm>
        <a:prstGeom prst="rect">
          <a:avLst/>
        </a:prstGeom>
        <a:noFill/>
        <a:ln w="1">
          <a:noFill/>
          <a:miter lim="800000"/>
          <a:headEnd/>
          <a:tailEnd type="none" w="med" len="med"/>
        </a:ln>
        <a:effectLst/>
      </xdr:spPr>
    </xdr:pic>
    <xdr:clientData/>
  </xdr:twoCellAnchor>
  <xdr:twoCellAnchor editAs="oneCell">
    <xdr:from>
      <xdr:col>5</xdr:col>
      <xdr:colOff>0</xdr:colOff>
      <xdr:row>148</xdr:row>
      <xdr:rowOff>0</xdr:rowOff>
    </xdr:from>
    <xdr:to>
      <xdr:col>9</xdr:col>
      <xdr:colOff>152400</xdr:colOff>
      <xdr:row>155</xdr:row>
      <xdr:rowOff>142875</xdr:rowOff>
    </xdr:to>
    <xdr:pic>
      <xdr:nvPicPr>
        <xdr:cNvPr id="32816" name="Picture 48"/>
        <xdr:cNvPicPr>
          <a:picLocks noChangeAspect="1" noChangeArrowheads="1"/>
        </xdr:cNvPicPr>
      </xdr:nvPicPr>
      <xdr:blipFill>
        <a:blip xmlns:r="http://schemas.openxmlformats.org/officeDocument/2006/relationships" r:embed="rId22" cstate="print"/>
        <a:srcRect/>
        <a:stretch>
          <a:fillRect/>
        </a:stretch>
      </xdr:blipFill>
      <xdr:spPr bwMode="auto">
        <a:xfrm>
          <a:off x="5476875" y="30727650"/>
          <a:ext cx="3390900" cy="1876425"/>
        </a:xfrm>
        <a:prstGeom prst="rect">
          <a:avLst/>
        </a:prstGeom>
        <a:noFill/>
        <a:ln w="1">
          <a:noFill/>
          <a:miter lim="800000"/>
          <a:headEnd/>
          <a:tailEnd type="none" w="med" len="med"/>
        </a:ln>
        <a:effectLst/>
      </xdr:spPr>
    </xdr:pic>
    <xdr:clientData/>
  </xdr:twoCellAnchor>
  <xdr:twoCellAnchor editAs="oneCell">
    <xdr:from>
      <xdr:col>9</xdr:col>
      <xdr:colOff>114300</xdr:colOff>
      <xdr:row>148</xdr:row>
      <xdr:rowOff>9525</xdr:rowOff>
    </xdr:from>
    <xdr:to>
      <xdr:col>12</xdr:col>
      <xdr:colOff>165764</xdr:colOff>
      <xdr:row>156</xdr:row>
      <xdr:rowOff>9525</xdr:rowOff>
    </xdr:to>
    <xdr:pic>
      <xdr:nvPicPr>
        <xdr:cNvPr id="32817" name="Picture 49"/>
        <xdr:cNvPicPr>
          <a:picLocks noChangeAspect="1" noChangeArrowheads="1"/>
        </xdr:cNvPicPr>
      </xdr:nvPicPr>
      <xdr:blipFill>
        <a:blip xmlns:r="http://schemas.openxmlformats.org/officeDocument/2006/relationships" r:embed="rId23" cstate="print"/>
        <a:srcRect/>
        <a:stretch>
          <a:fillRect/>
        </a:stretch>
      </xdr:blipFill>
      <xdr:spPr bwMode="auto">
        <a:xfrm>
          <a:off x="8829675" y="30737175"/>
          <a:ext cx="2480339" cy="1981200"/>
        </a:xfrm>
        <a:prstGeom prst="rect">
          <a:avLst/>
        </a:prstGeom>
        <a:noFill/>
        <a:ln w="1">
          <a:noFill/>
          <a:miter lim="800000"/>
          <a:headEnd/>
          <a:tailEnd type="none" w="med" len="med"/>
        </a:ln>
        <a:effectLst/>
      </xdr:spPr>
    </xdr:pic>
    <xdr:clientData/>
  </xdr:twoCellAnchor>
  <xdr:oneCellAnchor>
    <xdr:from>
      <xdr:col>3</xdr:col>
      <xdr:colOff>1249986</xdr:colOff>
      <xdr:row>122</xdr:row>
      <xdr:rowOff>47625</xdr:rowOff>
    </xdr:from>
    <xdr:ext cx="476862" cy="2825453"/>
    <xdr:sp macro="" textlink="">
      <xdr:nvSpPr>
        <xdr:cNvPr id="73" name="TextBox 72"/>
        <xdr:cNvSpPr txBox="1"/>
      </xdr:nvSpPr>
      <xdr:spPr>
        <a:xfrm>
          <a:off x="4955211" y="13192125"/>
          <a:ext cx="476862" cy="2825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wordArtVertRtl" wrap="none" rtlCol="0" anchor="t">
          <a:spAutoFit/>
        </a:bodyPr>
        <a:lstStyle/>
        <a:p>
          <a:r>
            <a:rPr lang="zh-CN" altLang="en-US" sz="1600" b="1" i="0">
              <a:solidFill>
                <a:srgbClr val="FFC000"/>
              </a:solidFill>
            </a:rPr>
            <a:t>若不合格则重新选择型号</a:t>
          </a:r>
        </a:p>
      </xdr:txBody>
    </xdr:sp>
    <xdr:clientData/>
  </xdr:oneCellAnchor>
  <xdr:twoCellAnchor>
    <xdr:from>
      <xdr:col>4</xdr:col>
      <xdr:colOff>47625</xdr:colOff>
      <xdr:row>121</xdr:row>
      <xdr:rowOff>0</xdr:rowOff>
    </xdr:from>
    <xdr:to>
      <xdr:col>4</xdr:col>
      <xdr:colOff>342902</xdr:colOff>
      <xdr:row>134</xdr:row>
      <xdr:rowOff>171452</xdr:rowOff>
    </xdr:to>
    <xdr:sp macro="" textlink="">
      <xdr:nvSpPr>
        <xdr:cNvPr id="74" name="手杖形箭头 73"/>
        <xdr:cNvSpPr/>
      </xdr:nvSpPr>
      <xdr:spPr>
        <a:xfrm rot="-5400000" flipV="1">
          <a:off x="3548063" y="31532512"/>
          <a:ext cx="3390902" cy="295277"/>
        </a:xfrm>
        <a:prstGeom prst="uturnArrow">
          <a:avLst>
            <a:gd name="adj1" fmla="val 25000"/>
            <a:gd name="adj2" fmla="val 23387"/>
            <a:gd name="adj3" fmla="val 31452"/>
            <a:gd name="adj4" fmla="val 43750"/>
            <a:gd name="adj5" fmla="val 100000"/>
          </a:avLst>
        </a:prstGeom>
      </xdr:spPr>
      <xdr:style>
        <a:lnRef idx="1">
          <a:schemeClr val="accent3"/>
        </a:lnRef>
        <a:fillRef idx="3">
          <a:schemeClr val="accent3"/>
        </a:fillRef>
        <a:effectRef idx="2">
          <a:schemeClr val="accent3"/>
        </a:effectRef>
        <a:fontRef idx="minor">
          <a:schemeClr val="lt1"/>
        </a:fontRef>
      </xdr:style>
      <xdr:txBody>
        <a:bodyPr vertOverflow="clip" rtlCol="0" anchor="ctr"/>
        <a:lstStyle/>
        <a:p>
          <a:pPr algn="ctr"/>
          <a:endParaRPr lang="zh-CN" altLang="en-US" sz="1100">
            <a:solidFill>
              <a:schemeClr val="tx1"/>
            </a:solidFill>
          </a:endParaRPr>
        </a:p>
      </xdr:txBody>
    </xdr:sp>
    <xdr:clientData/>
  </xdr:twoCellAnchor>
  <xdr:twoCellAnchor editAs="oneCell">
    <xdr:from>
      <xdr:col>5</xdr:col>
      <xdr:colOff>0</xdr:colOff>
      <xdr:row>156</xdr:row>
      <xdr:rowOff>1</xdr:rowOff>
    </xdr:from>
    <xdr:to>
      <xdr:col>12</xdr:col>
      <xdr:colOff>733425</xdr:colOff>
      <xdr:row>162</xdr:row>
      <xdr:rowOff>114301</xdr:rowOff>
    </xdr:to>
    <xdr:pic>
      <xdr:nvPicPr>
        <xdr:cNvPr id="75" name="Picture 50"/>
        <xdr:cNvPicPr>
          <a:picLocks noChangeAspect="1" noChangeArrowheads="1"/>
        </xdr:cNvPicPr>
      </xdr:nvPicPr>
      <xdr:blipFill>
        <a:blip xmlns:r="http://schemas.openxmlformats.org/officeDocument/2006/relationships" r:embed="rId24" cstate="print"/>
        <a:srcRect/>
        <a:stretch>
          <a:fillRect/>
        </a:stretch>
      </xdr:blipFill>
      <xdr:spPr bwMode="auto">
        <a:xfrm>
          <a:off x="5476875" y="39643051"/>
          <a:ext cx="6400800" cy="1600200"/>
        </a:xfrm>
        <a:prstGeom prst="rect">
          <a:avLst/>
        </a:prstGeom>
        <a:noFill/>
        <a:ln w="1">
          <a:noFill/>
          <a:miter lim="800000"/>
          <a:headEnd/>
          <a:tailEnd type="none" w="med" len="med"/>
        </a:ln>
        <a:effectLst/>
      </xdr:spPr>
    </xdr:pic>
    <xdr:clientData/>
  </xdr:twoCellAnchor>
  <xdr:twoCellAnchor>
    <xdr:from>
      <xdr:col>0</xdr:col>
      <xdr:colOff>19048</xdr:colOff>
      <xdr:row>0</xdr:row>
      <xdr:rowOff>28575</xdr:rowOff>
    </xdr:from>
    <xdr:to>
      <xdr:col>0</xdr:col>
      <xdr:colOff>828674</xdr:colOff>
      <xdr:row>0</xdr:row>
      <xdr:rowOff>266700</xdr:rowOff>
    </xdr:to>
    <xdr:sp macro="" textlink="">
      <xdr:nvSpPr>
        <xdr:cNvPr id="66" name="五边形 65">
          <a:hlinkClick xmlns:r="http://schemas.openxmlformats.org/officeDocument/2006/relationships" r:id="rId25"/>
        </xdr:cNvPr>
        <xdr:cNvSpPr/>
      </xdr:nvSpPr>
      <xdr:spPr>
        <a:xfrm flipH="1">
          <a:off x="19048" y="28575"/>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55</xdr:row>
      <xdr:rowOff>28575</xdr:rowOff>
    </xdr:from>
    <xdr:to>
      <xdr:col>4</xdr:col>
      <xdr:colOff>219075</xdr:colOff>
      <xdr:row>72</xdr:row>
      <xdr:rowOff>31446</xdr:rowOff>
    </xdr:to>
    <xdr:pic>
      <xdr:nvPicPr>
        <xdr:cNvPr id="1055" name="Picture 31"/>
        <xdr:cNvPicPr>
          <a:picLocks noChangeAspect="1" noChangeArrowheads="1"/>
        </xdr:cNvPicPr>
      </xdr:nvPicPr>
      <xdr:blipFill>
        <a:blip xmlns:r="http://schemas.openxmlformats.org/officeDocument/2006/relationships" r:embed="rId1" cstate="print"/>
        <a:srcRect/>
        <a:stretch>
          <a:fillRect/>
        </a:stretch>
      </xdr:blipFill>
      <xdr:spPr bwMode="auto">
        <a:xfrm>
          <a:off x="9525" y="9667875"/>
          <a:ext cx="4972050" cy="3565221"/>
        </a:xfrm>
        <a:prstGeom prst="rect">
          <a:avLst/>
        </a:prstGeom>
        <a:noFill/>
        <a:ln w="1">
          <a:noFill/>
          <a:miter lim="800000"/>
          <a:headEnd/>
          <a:tailEnd type="none" w="med" len="med"/>
        </a:ln>
        <a:effectLst/>
      </xdr:spPr>
    </xdr:pic>
    <xdr:clientData/>
  </xdr:twoCellAnchor>
  <xdr:twoCellAnchor editAs="oneCell">
    <xdr:from>
      <xdr:col>5</xdr:col>
      <xdr:colOff>9525</xdr:colOff>
      <xdr:row>12</xdr:row>
      <xdr:rowOff>19050</xdr:rowOff>
    </xdr:from>
    <xdr:to>
      <xdr:col>9</xdr:col>
      <xdr:colOff>619125</xdr:colOff>
      <xdr:row>23</xdr:row>
      <xdr:rowOff>95249</xdr:rowOff>
    </xdr:to>
    <xdr:pic>
      <xdr:nvPicPr>
        <xdr:cNvPr id="1056" name="Picture 32"/>
        <xdr:cNvPicPr>
          <a:picLocks noChangeAspect="1" noChangeArrowheads="1"/>
        </xdr:cNvPicPr>
      </xdr:nvPicPr>
      <xdr:blipFill>
        <a:blip xmlns:r="http://schemas.openxmlformats.org/officeDocument/2006/relationships" r:embed="rId2" cstate="print"/>
        <a:srcRect/>
        <a:stretch>
          <a:fillRect/>
        </a:stretch>
      </xdr:blipFill>
      <xdr:spPr bwMode="auto">
        <a:xfrm>
          <a:off x="5610225" y="2533650"/>
          <a:ext cx="4848225" cy="2381249"/>
        </a:xfrm>
        <a:prstGeom prst="rect">
          <a:avLst/>
        </a:prstGeom>
        <a:noFill/>
        <a:ln w="1">
          <a:noFill/>
          <a:miter lim="800000"/>
          <a:headEnd/>
          <a:tailEnd type="none" w="med" len="med"/>
        </a:ln>
        <a:effectLst/>
      </xdr:spPr>
    </xdr:pic>
    <xdr:clientData/>
  </xdr:twoCellAnchor>
  <xdr:twoCellAnchor editAs="oneCell">
    <xdr:from>
      <xdr:col>0</xdr:col>
      <xdr:colOff>9525</xdr:colOff>
      <xdr:row>75</xdr:row>
      <xdr:rowOff>0</xdr:rowOff>
    </xdr:from>
    <xdr:to>
      <xdr:col>4</xdr:col>
      <xdr:colOff>276225</xdr:colOff>
      <xdr:row>93</xdr:row>
      <xdr:rowOff>35523</xdr:rowOff>
    </xdr:to>
    <xdr:pic>
      <xdr:nvPicPr>
        <xdr:cNvPr id="1058" name="Picture 34"/>
        <xdr:cNvPicPr>
          <a:picLocks noChangeAspect="1" noChangeArrowheads="1"/>
        </xdr:cNvPicPr>
      </xdr:nvPicPr>
      <xdr:blipFill>
        <a:blip xmlns:r="http://schemas.openxmlformats.org/officeDocument/2006/relationships" r:embed="rId3" cstate="print"/>
        <a:srcRect/>
        <a:stretch>
          <a:fillRect/>
        </a:stretch>
      </xdr:blipFill>
      <xdr:spPr bwMode="auto">
        <a:xfrm>
          <a:off x="9525" y="13830300"/>
          <a:ext cx="5029200" cy="3807423"/>
        </a:xfrm>
        <a:prstGeom prst="rect">
          <a:avLst/>
        </a:prstGeom>
        <a:noFill/>
        <a:ln w="1">
          <a:noFill/>
          <a:miter lim="800000"/>
          <a:headEnd/>
          <a:tailEnd type="none" w="med" len="med"/>
        </a:ln>
        <a:effectLst/>
      </xdr:spPr>
    </xdr:pic>
    <xdr:clientData/>
  </xdr:twoCellAnchor>
  <xdr:twoCellAnchor editAs="oneCell">
    <xdr:from>
      <xdr:col>8</xdr:col>
      <xdr:colOff>457201</xdr:colOff>
      <xdr:row>52</xdr:row>
      <xdr:rowOff>38100</xdr:rowOff>
    </xdr:from>
    <xdr:to>
      <xdr:col>12</xdr:col>
      <xdr:colOff>542926</xdr:colOff>
      <xdr:row>67</xdr:row>
      <xdr:rowOff>12761</xdr:rowOff>
    </xdr:to>
    <xdr:pic>
      <xdr:nvPicPr>
        <xdr:cNvPr id="1061" name="Picture 37"/>
        <xdr:cNvPicPr>
          <a:picLocks noChangeAspect="1" noChangeArrowheads="1"/>
        </xdr:cNvPicPr>
      </xdr:nvPicPr>
      <xdr:blipFill>
        <a:blip xmlns:r="http://schemas.openxmlformats.org/officeDocument/2006/relationships" r:embed="rId4" cstate="print"/>
        <a:srcRect/>
        <a:stretch>
          <a:fillRect/>
        </a:stretch>
      </xdr:blipFill>
      <xdr:spPr bwMode="auto">
        <a:xfrm>
          <a:off x="9848851" y="20269200"/>
          <a:ext cx="3886200" cy="3117911"/>
        </a:xfrm>
        <a:prstGeom prst="rect">
          <a:avLst/>
        </a:prstGeom>
        <a:noFill/>
        <a:ln w="1">
          <a:noFill/>
          <a:miter lim="800000"/>
          <a:headEnd/>
          <a:tailEnd type="none" w="med" len="med"/>
        </a:ln>
        <a:effectLst/>
      </xdr:spPr>
    </xdr:pic>
    <xdr:clientData/>
  </xdr:twoCellAnchor>
  <xdr:twoCellAnchor editAs="oneCell">
    <xdr:from>
      <xdr:col>5</xdr:col>
      <xdr:colOff>76200</xdr:colOff>
      <xdr:row>69</xdr:row>
      <xdr:rowOff>76200</xdr:rowOff>
    </xdr:from>
    <xdr:to>
      <xdr:col>8</xdr:col>
      <xdr:colOff>76200</xdr:colOff>
      <xdr:row>91</xdr:row>
      <xdr:rowOff>133350</xdr:rowOff>
    </xdr:to>
    <xdr:pic>
      <xdr:nvPicPr>
        <xdr:cNvPr id="1062" name="Picture 38"/>
        <xdr:cNvPicPr>
          <a:picLocks noChangeAspect="1" noChangeArrowheads="1"/>
        </xdr:cNvPicPr>
      </xdr:nvPicPr>
      <xdr:blipFill>
        <a:blip xmlns:r="http://schemas.openxmlformats.org/officeDocument/2006/relationships" r:embed="rId5" cstate="print"/>
        <a:srcRect/>
        <a:stretch>
          <a:fillRect/>
        </a:stretch>
      </xdr:blipFill>
      <xdr:spPr bwMode="auto">
        <a:xfrm>
          <a:off x="6267450" y="25107900"/>
          <a:ext cx="3200400" cy="4667250"/>
        </a:xfrm>
        <a:prstGeom prst="rect">
          <a:avLst/>
        </a:prstGeom>
        <a:noFill/>
        <a:ln w="1">
          <a:noFill/>
          <a:miter lim="800000"/>
          <a:headEnd/>
          <a:tailEnd type="none" w="med" len="med"/>
        </a:ln>
        <a:effectLst/>
      </xdr:spPr>
    </xdr:pic>
    <xdr:clientData/>
  </xdr:twoCellAnchor>
  <xdr:twoCellAnchor editAs="oneCell">
    <xdr:from>
      <xdr:col>8</xdr:col>
      <xdr:colOff>0</xdr:colOff>
      <xdr:row>69</xdr:row>
      <xdr:rowOff>0</xdr:rowOff>
    </xdr:from>
    <xdr:to>
      <xdr:col>12</xdr:col>
      <xdr:colOff>238125</xdr:colOff>
      <xdr:row>91</xdr:row>
      <xdr:rowOff>123825</xdr:rowOff>
    </xdr:to>
    <xdr:pic>
      <xdr:nvPicPr>
        <xdr:cNvPr id="1063" name="Picture 39"/>
        <xdr:cNvPicPr>
          <a:picLocks noChangeAspect="1" noChangeArrowheads="1"/>
        </xdr:cNvPicPr>
      </xdr:nvPicPr>
      <xdr:blipFill>
        <a:blip xmlns:r="http://schemas.openxmlformats.org/officeDocument/2006/relationships" r:embed="rId6" cstate="print"/>
        <a:srcRect/>
        <a:stretch>
          <a:fillRect/>
        </a:stretch>
      </xdr:blipFill>
      <xdr:spPr bwMode="auto">
        <a:xfrm>
          <a:off x="9391650" y="25031700"/>
          <a:ext cx="4038600" cy="4733925"/>
        </a:xfrm>
        <a:prstGeom prst="rect">
          <a:avLst/>
        </a:prstGeom>
        <a:noFill/>
        <a:ln w="1">
          <a:noFill/>
          <a:miter lim="800000"/>
          <a:headEnd/>
          <a:tailEnd type="none" w="med" len="med"/>
        </a:ln>
        <a:effectLst/>
      </xdr:spPr>
    </xdr:pic>
    <xdr:clientData/>
  </xdr:twoCellAnchor>
  <xdr:twoCellAnchor editAs="oneCell">
    <xdr:from>
      <xdr:col>5</xdr:col>
      <xdr:colOff>38100</xdr:colOff>
      <xdr:row>52</xdr:row>
      <xdr:rowOff>38101</xdr:rowOff>
    </xdr:from>
    <xdr:to>
      <xdr:col>8</xdr:col>
      <xdr:colOff>352425</xdr:colOff>
      <xdr:row>67</xdr:row>
      <xdr:rowOff>14663</xdr:rowOff>
    </xdr:to>
    <xdr:pic>
      <xdr:nvPicPr>
        <xdr:cNvPr id="1064" name="Picture 40"/>
        <xdr:cNvPicPr>
          <a:picLocks noChangeAspect="1" noChangeArrowheads="1"/>
        </xdr:cNvPicPr>
      </xdr:nvPicPr>
      <xdr:blipFill>
        <a:blip xmlns:r="http://schemas.openxmlformats.org/officeDocument/2006/relationships" r:embed="rId7" cstate="print"/>
        <a:srcRect/>
        <a:stretch>
          <a:fillRect/>
        </a:stretch>
      </xdr:blipFill>
      <xdr:spPr bwMode="auto">
        <a:xfrm>
          <a:off x="6229350" y="20269201"/>
          <a:ext cx="3514725" cy="3119812"/>
        </a:xfrm>
        <a:prstGeom prst="rect">
          <a:avLst/>
        </a:prstGeom>
        <a:noFill/>
        <a:ln w="1">
          <a:noFill/>
          <a:miter lim="800000"/>
          <a:headEnd/>
          <a:tailEnd type="none" w="med" len="med"/>
        </a:ln>
        <a:effectLst/>
      </xdr:spPr>
    </xdr:pic>
    <xdr:clientData/>
  </xdr:twoCellAnchor>
  <xdr:twoCellAnchor>
    <xdr:from>
      <xdr:col>5</xdr:col>
      <xdr:colOff>0</xdr:colOff>
      <xdr:row>94</xdr:row>
      <xdr:rowOff>28575</xdr:rowOff>
    </xdr:from>
    <xdr:to>
      <xdr:col>6</xdr:col>
      <xdr:colOff>1</xdr:colOff>
      <xdr:row>97</xdr:row>
      <xdr:rowOff>1</xdr:rowOff>
    </xdr:to>
    <xdr:cxnSp macro="">
      <xdr:nvCxnSpPr>
        <xdr:cNvPr id="24" name="直接连接符 23"/>
        <xdr:cNvCxnSpPr/>
      </xdr:nvCxnSpPr>
      <xdr:spPr>
        <a:xfrm flipH="1" flipV="1">
          <a:off x="5600700" y="28432125"/>
          <a:ext cx="1095376" cy="57150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9526</xdr:colOff>
      <xdr:row>127</xdr:row>
      <xdr:rowOff>9526</xdr:rowOff>
    </xdr:from>
    <xdr:to>
      <xdr:col>7</xdr:col>
      <xdr:colOff>420222</xdr:colOff>
      <xdr:row>153</xdr:row>
      <xdr:rowOff>76200</xdr:rowOff>
    </xdr:to>
    <xdr:pic>
      <xdr:nvPicPr>
        <xdr:cNvPr id="2" name="Picture 47"/>
        <xdr:cNvPicPr>
          <a:picLocks noChangeAspect="1" noChangeArrowheads="1"/>
        </xdr:cNvPicPr>
      </xdr:nvPicPr>
      <xdr:blipFill>
        <a:blip xmlns:r="http://schemas.openxmlformats.org/officeDocument/2006/relationships" r:embed="rId8" cstate="print"/>
        <a:srcRect/>
        <a:stretch>
          <a:fillRect/>
        </a:stretch>
      </xdr:blipFill>
      <xdr:spPr bwMode="auto">
        <a:xfrm>
          <a:off x="9526" y="23898226"/>
          <a:ext cx="7973546" cy="5514974"/>
        </a:xfrm>
        <a:prstGeom prst="rect">
          <a:avLst/>
        </a:prstGeom>
        <a:noFill/>
        <a:ln w="1">
          <a:noFill/>
          <a:miter lim="800000"/>
          <a:headEnd/>
          <a:tailEnd type="none" w="med" len="med"/>
        </a:ln>
        <a:effectLst/>
      </xdr:spPr>
    </xdr:pic>
    <xdr:clientData/>
  </xdr:twoCellAnchor>
  <xdr:twoCellAnchor editAs="oneCell">
    <xdr:from>
      <xdr:col>0</xdr:col>
      <xdr:colOff>9525</xdr:colOff>
      <xdr:row>153</xdr:row>
      <xdr:rowOff>57149</xdr:rowOff>
    </xdr:from>
    <xdr:to>
      <xdr:col>7</xdr:col>
      <xdr:colOff>559791</xdr:colOff>
      <xdr:row>162</xdr:row>
      <xdr:rowOff>19050</xdr:rowOff>
    </xdr:to>
    <xdr:pic>
      <xdr:nvPicPr>
        <xdr:cNvPr id="1072" name="Picture 48"/>
        <xdr:cNvPicPr>
          <a:picLocks noChangeAspect="1" noChangeArrowheads="1"/>
        </xdr:cNvPicPr>
      </xdr:nvPicPr>
      <xdr:blipFill>
        <a:blip xmlns:r="http://schemas.openxmlformats.org/officeDocument/2006/relationships" r:embed="rId9" cstate="print"/>
        <a:srcRect/>
        <a:stretch>
          <a:fillRect/>
        </a:stretch>
      </xdr:blipFill>
      <xdr:spPr bwMode="auto">
        <a:xfrm>
          <a:off x="9525" y="32118299"/>
          <a:ext cx="8113116" cy="1847851"/>
        </a:xfrm>
        <a:prstGeom prst="rect">
          <a:avLst/>
        </a:prstGeom>
        <a:noFill/>
        <a:ln w="1">
          <a:noFill/>
          <a:miter lim="800000"/>
          <a:headEnd/>
          <a:tailEnd type="none" w="med" len="med"/>
        </a:ln>
        <a:effectLst/>
      </xdr:spPr>
    </xdr:pic>
    <xdr:clientData/>
  </xdr:twoCellAnchor>
  <xdr:twoCellAnchor editAs="oneCell">
    <xdr:from>
      <xdr:col>5</xdr:col>
      <xdr:colOff>9526</xdr:colOff>
      <xdr:row>30</xdr:row>
      <xdr:rowOff>19050</xdr:rowOff>
    </xdr:from>
    <xdr:to>
      <xdr:col>10</xdr:col>
      <xdr:colOff>6886</xdr:colOff>
      <xdr:row>44</xdr:row>
      <xdr:rowOff>0</xdr:rowOff>
    </xdr:to>
    <xdr:pic>
      <xdr:nvPicPr>
        <xdr:cNvPr id="1073" name="Picture 49"/>
        <xdr:cNvPicPr>
          <a:picLocks noChangeAspect="1" noChangeArrowheads="1"/>
        </xdr:cNvPicPr>
      </xdr:nvPicPr>
      <xdr:blipFill>
        <a:blip xmlns:r="http://schemas.openxmlformats.org/officeDocument/2006/relationships" r:embed="rId10" cstate="print"/>
        <a:srcRect/>
        <a:stretch>
          <a:fillRect/>
        </a:stretch>
      </xdr:blipFill>
      <xdr:spPr bwMode="auto">
        <a:xfrm>
          <a:off x="5629276" y="6305550"/>
          <a:ext cx="5274210" cy="2914650"/>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3" name="五边形 12">
          <a:hlinkClick xmlns:r="http://schemas.openxmlformats.org/officeDocument/2006/relationships" r:id="rId11"/>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9524</xdr:colOff>
      <xdr:row>20</xdr:row>
      <xdr:rowOff>28575</xdr:rowOff>
    </xdr:from>
    <xdr:to>
      <xdr:col>8</xdr:col>
      <xdr:colOff>476250</xdr:colOff>
      <xdr:row>38</xdr:row>
      <xdr:rowOff>19050</xdr:rowOff>
    </xdr:to>
    <xdr:pic>
      <xdr:nvPicPr>
        <xdr:cNvPr id="2" name="Picture 31"/>
        <xdr:cNvPicPr>
          <a:picLocks noChangeAspect="1" noChangeArrowheads="1"/>
        </xdr:cNvPicPr>
      </xdr:nvPicPr>
      <xdr:blipFill>
        <a:blip xmlns:r="http://schemas.openxmlformats.org/officeDocument/2006/relationships" r:embed="rId1" cstate="print"/>
        <a:srcRect/>
        <a:stretch>
          <a:fillRect/>
        </a:stretch>
      </xdr:blipFill>
      <xdr:spPr bwMode="auto">
        <a:xfrm>
          <a:off x="5667374" y="6677025"/>
          <a:ext cx="3667126" cy="3762375"/>
        </a:xfrm>
        <a:prstGeom prst="rect">
          <a:avLst/>
        </a:prstGeom>
        <a:noFill/>
        <a:ln w="1">
          <a:noFill/>
          <a:miter lim="800000"/>
          <a:headEnd/>
          <a:tailEnd type="none" w="med" len="med"/>
        </a:ln>
        <a:effectLst/>
      </xdr:spPr>
    </xdr:pic>
    <xdr:clientData/>
  </xdr:twoCellAnchor>
  <xdr:twoCellAnchor editAs="oneCell">
    <xdr:from>
      <xdr:col>10</xdr:col>
      <xdr:colOff>19050</xdr:colOff>
      <xdr:row>8</xdr:row>
      <xdr:rowOff>133350</xdr:rowOff>
    </xdr:from>
    <xdr:to>
      <xdr:col>14</xdr:col>
      <xdr:colOff>276225</xdr:colOff>
      <xdr:row>18</xdr:row>
      <xdr:rowOff>9525</xdr:rowOff>
    </xdr:to>
    <xdr:pic>
      <xdr:nvPicPr>
        <xdr:cNvPr id="3" name="Picture 32"/>
        <xdr:cNvPicPr>
          <a:picLocks noChangeAspect="1" noChangeArrowheads="1"/>
        </xdr:cNvPicPr>
      </xdr:nvPicPr>
      <xdr:blipFill>
        <a:blip xmlns:r="http://schemas.openxmlformats.org/officeDocument/2006/relationships" r:embed="rId2" cstate="print"/>
        <a:srcRect/>
        <a:stretch>
          <a:fillRect/>
        </a:stretch>
      </xdr:blipFill>
      <xdr:spPr bwMode="auto">
        <a:xfrm>
          <a:off x="10953750" y="1962150"/>
          <a:ext cx="3352800" cy="1971675"/>
        </a:xfrm>
        <a:prstGeom prst="rect">
          <a:avLst/>
        </a:prstGeom>
        <a:noFill/>
        <a:ln w="1">
          <a:noFill/>
          <a:miter lim="800000"/>
          <a:headEnd/>
          <a:tailEnd type="none" w="med" len="med"/>
        </a:ln>
        <a:effectLst/>
      </xdr:spPr>
    </xdr:pic>
    <xdr:clientData/>
  </xdr:twoCellAnchor>
  <xdr:twoCellAnchor editAs="oneCell">
    <xdr:from>
      <xdr:col>8</xdr:col>
      <xdr:colOff>504824</xdr:colOff>
      <xdr:row>20</xdr:row>
      <xdr:rowOff>9525</xdr:rowOff>
    </xdr:from>
    <xdr:to>
      <xdr:col>12</xdr:col>
      <xdr:colOff>504825</xdr:colOff>
      <xdr:row>38</xdr:row>
      <xdr:rowOff>153487</xdr:rowOff>
    </xdr:to>
    <xdr:pic>
      <xdr:nvPicPr>
        <xdr:cNvPr id="4" name="Picture 34"/>
        <xdr:cNvPicPr>
          <a:picLocks noChangeAspect="1" noChangeArrowheads="1"/>
        </xdr:cNvPicPr>
      </xdr:nvPicPr>
      <xdr:blipFill>
        <a:blip xmlns:r="http://schemas.openxmlformats.org/officeDocument/2006/relationships" r:embed="rId3" cstate="print"/>
        <a:srcRect/>
        <a:stretch>
          <a:fillRect/>
        </a:stretch>
      </xdr:blipFill>
      <xdr:spPr bwMode="auto">
        <a:xfrm>
          <a:off x="9363074" y="6657975"/>
          <a:ext cx="3800476" cy="3915862"/>
        </a:xfrm>
        <a:prstGeom prst="rect">
          <a:avLst/>
        </a:prstGeom>
        <a:noFill/>
        <a:ln w="1">
          <a:noFill/>
          <a:miter lim="800000"/>
          <a:headEnd/>
          <a:tailEnd type="none" w="med" len="med"/>
        </a:ln>
        <a:effectLst/>
      </xdr:spPr>
    </xdr:pic>
    <xdr:clientData/>
  </xdr:twoCellAnchor>
  <xdr:twoCellAnchor editAs="oneCell">
    <xdr:from>
      <xdr:col>8</xdr:col>
      <xdr:colOff>133351</xdr:colOff>
      <xdr:row>40</xdr:row>
      <xdr:rowOff>38100</xdr:rowOff>
    </xdr:from>
    <xdr:to>
      <xdr:col>11</xdr:col>
      <xdr:colOff>171452</xdr:colOff>
      <xdr:row>55</xdr:row>
      <xdr:rowOff>12761</xdr:rowOff>
    </xdr:to>
    <xdr:pic>
      <xdr:nvPicPr>
        <xdr:cNvPr id="5" name="Picture 37"/>
        <xdr:cNvPicPr>
          <a:picLocks noChangeAspect="1" noChangeArrowheads="1"/>
        </xdr:cNvPicPr>
      </xdr:nvPicPr>
      <xdr:blipFill>
        <a:blip xmlns:r="http://schemas.openxmlformats.org/officeDocument/2006/relationships" r:embed="rId4" cstate="print"/>
        <a:srcRect/>
        <a:stretch>
          <a:fillRect/>
        </a:stretch>
      </xdr:blipFill>
      <xdr:spPr bwMode="auto">
        <a:xfrm>
          <a:off x="8991601" y="10877550"/>
          <a:ext cx="3152776" cy="3117911"/>
        </a:xfrm>
        <a:prstGeom prst="rect">
          <a:avLst/>
        </a:prstGeom>
        <a:noFill/>
        <a:ln w="1">
          <a:noFill/>
          <a:miter lim="800000"/>
          <a:headEnd/>
          <a:tailEnd type="none" w="med" len="med"/>
        </a:ln>
        <a:effectLst/>
      </xdr:spPr>
    </xdr:pic>
    <xdr:clientData/>
  </xdr:twoCellAnchor>
  <xdr:twoCellAnchor editAs="oneCell">
    <xdr:from>
      <xdr:col>5</xdr:col>
      <xdr:colOff>76200</xdr:colOff>
      <xdr:row>57</xdr:row>
      <xdr:rowOff>76200</xdr:rowOff>
    </xdr:from>
    <xdr:to>
      <xdr:col>8</xdr:col>
      <xdr:colOff>0</xdr:colOff>
      <xdr:row>69</xdr:row>
      <xdr:rowOff>190500</xdr:rowOff>
    </xdr:to>
    <xdr:pic>
      <xdr:nvPicPr>
        <xdr:cNvPr id="6" name="Picture 38"/>
        <xdr:cNvPicPr>
          <a:picLocks noChangeAspect="1" noChangeArrowheads="1"/>
        </xdr:cNvPicPr>
      </xdr:nvPicPr>
      <xdr:blipFill>
        <a:blip xmlns:r="http://schemas.openxmlformats.org/officeDocument/2006/relationships" r:embed="rId5" cstate="print"/>
        <a:srcRect/>
        <a:stretch>
          <a:fillRect/>
        </a:stretch>
      </xdr:blipFill>
      <xdr:spPr bwMode="auto">
        <a:xfrm>
          <a:off x="5734050" y="12172950"/>
          <a:ext cx="3124200" cy="2628900"/>
        </a:xfrm>
        <a:prstGeom prst="rect">
          <a:avLst/>
        </a:prstGeom>
        <a:noFill/>
        <a:ln w="1">
          <a:noFill/>
          <a:miter lim="800000"/>
          <a:headEnd/>
          <a:tailEnd type="none" w="med" len="med"/>
        </a:ln>
        <a:effectLst/>
      </xdr:spPr>
    </xdr:pic>
    <xdr:clientData/>
  </xdr:twoCellAnchor>
  <xdr:twoCellAnchor editAs="oneCell">
    <xdr:from>
      <xdr:col>8</xdr:col>
      <xdr:colOff>0</xdr:colOff>
      <xdr:row>57</xdr:row>
      <xdr:rowOff>0</xdr:rowOff>
    </xdr:from>
    <xdr:to>
      <xdr:col>11</xdr:col>
      <xdr:colOff>152400</xdr:colOff>
      <xdr:row>69</xdr:row>
      <xdr:rowOff>180975</xdr:rowOff>
    </xdr:to>
    <xdr:pic>
      <xdr:nvPicPr>
        <xdr:cNvPr id="7" name="Picture 39"/>
        <xdr:cNvPicPr>
          <a:picLocks noChangeAspect="1" noChangeArrowheads="1"/>
        </xdr:cNvPicPr>
      </xdr:nvPicPr>
      <xdr:blipFill>
        <a:blip xmlns:r="http://schemas.openxmlformats.org/officeDocument/2006/relationships" r:embed="rId6" cstate="print"/>
        <a:srcRect/>
        <a:stretch>
          <a:fillRect/>
        </a:stretch>
      </xdr:blipFill>
      <xdr:spPr bwMode="auto">
        <a:xfrm>
          <a:off x="8858250" y="12096750"/>
          <a:ext cx="3267075" cy="2695575"/>
        </a:xfrm>
        <a:prstGeom prst="rect">
          <a:avLst/>
        </a:prstGeom>
        <a:noFill/>
        <a:ln w="1">
          <a:noFill/>
          <a:miter lim="800000"/>
          <a:headEnd/>
          <a:tailEnd type="none" w="med" len="med"/>
        </a:ln>
        <a:effectLst/>
      </xdr:spPr>
    </xdr:pic>
    <xdr:clientData/>
  </xdr:twoCellAnchor>
  <xdr:twoCellAnchor editAs="oneCell">
    <xdr:from>
      <xdr:col>5</xdr:col>
      <xdr:colOff>38100</xdr:colOff>
      <xdr:row>40</xdr:row>
      <xdr:rowOff>38101</xdr:rowOff>
    </xdr:from>
    <xdr:to>
      <xdr:col>7</xdr:col>
      <xdr:colOff>857250</xdr:colOff>
      <xdr:row>55</xdr:row>
      <xdr:rowOff>14663</xdr:rowOff>
    </xdr:to>
    <xdr:pic>
      <xdr:nvPicPr>
        <xdr:cNvPr id="8" name="Picture 40"/>
        <xdr:cNvPicPr>
          <a:picLocks noChangeAspect="1" noChangeArrowheads="1"/>
        </xdr:cNvPicPr>
      </xdr:nvPicPr>
      <xdr:blipFill>
        <a:blip xmlns:r="http://schemas.openxmlformats.org/officeDocument/2006/relationships" r:embed="rId7" cstate="print"/>
        <a:srcRect/>
        <a:stretch>
          <a:fillRect/>
        </a:stretch>
      </xdr:blipFill>
      <xdr:spPr bwMode="auto">
        <a:xfrm>
          <a:off x="5695950" y="10877551"/>
          <a:ext cx="2981325" cy="3119812"/>
        </a:xfrm>
        <a:prstGeom prst="rect">
          <a:avLst/>
        </a:prstGeom>
        <a:noFill/>
        <a:ln w="1">
          <a:noFill/>
          <a:miter lim="800000"/>
          <a:headEnd/>
          <a:tailEnd type="none" w="med" len="med"/>
        </a:ln>
        <a:effectLst/>
      </xdr:spPr>
    </xdr:pic>
    <xdr:clientData/>
  </xdr:twoCellAnchor>
  <xdr:twoCellAnchor>
    <xdr:from>
      <xdr:col>5</xdr:col>
      <xdr:colOff>0</xdr:colOff>
      <xdr:row>72</xdr:row>
      <xdr:rowOff>28575</xdr:rowOff>
    </xdr:from>
    <xdr:to>
      <xdr:col>6</xdr:col>
      <xdr:colOff>1</xdr:colOff>
      <xdr:row>75</xdr:row>
      <xdr:rowOff>1</xdr:rowOff>
    </xdr:to>
    <xdr:cxnSp macro="">
      <xdr:nvCxnSpPr>
        <xdr:cNvPr id="9" name="直接连接符 8"/>
        <xdr:cNvCxnSpPr/>
      </xdr:nvCxnSpPr>
      <xdr:spPr>
        <a:xfrm flipH="1" flipV="1">
          <a:off x="5657850" y="19878675"/>
          <a:ext cx="1095376" cy="6000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9525</xdr:colOff>
      <xdr:row>14</xdr:row>
      <xdr:rowOff>19050</xdr:rowOff>
    </xdr:from>
    <xdr:to>
      <xdr:col>6</xdr:col>
      <xdr:colOff>0</xdr:colOff>
      <xdr:row>16</xdr:row>
      <xdr:rowOff>0</xdr:rowOff>
    </xdr:to>
    <xdr:cxnSp macro="">
      <xdr:nvCxnSpPr>
        <xdr:cNvPr id="14" name="直接连接符 13"/>
        <xdr:cNvCxnSpPr/>
      </xdr:nvCxnSpPr>
      <xdr:spPr>
        <a:xfrm>
          <a:off x="5667375" y="5410200"/>
          <a:ext cx="1085850" cy="400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0</xdr:row>
      <xdr:rowOff>19050</xdr:rowOff>
    </xdr:from>
    <xdr:to>
      <xdr:col>0</xdr:col>
      <xdr:colOff>819151</xdr:colOff>
      <xdr:row>0</xdr:row>
      <xdr:rowOff>257175</xdr:rowOff>
    </xdr:to>
    <xdr:sp macro="" textlink="">
      <xdr:nvSpPr>
        <xdr:cNvPr id="11" name="五边形 10">
          <a:hlinkClick xmlns:r="http://schemas.openxmlformats.org/officeDocument/2006/relationships" r:id="rId8"/>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161927</xdr:colOff>
      <xdr:row>84</xdr:row>
      <xdr:rowOff>85725</xdr:rowOff>
    </xdr:from>
    <xdr:to>
      <xdr:col>0</xdr:col>
      <xdr:colOff>504825</xdr:colOff>
      <xdr:row>88</xdr:row>
      <xdr:rowOff>57150</xdr:rowOff>
    </xdr:to>
    <xdr:grpSp>
      <xdr:nvGrpSpPr>
        <xdr:cNvPr id="42" name="组合 41"/>
        <xdr:cNvGrpSpPr/>
      </xdr:nvGrpSpPr>
      <xdr:grpSpPr>
        <a:xfrm>
          <a:off x="161927" y="17754600"/>
          <a:ext cx="342898" cy="809625"/>
          <a:chOff x="195" y="3276"/>
          <a:chExt cx="414" cy="810"/>
        </a:xfrm>
      </xdr:grpSpPr>
      <xdr:grpSp>
        <xdr:nvGrpSpPr>
          <xdr:cNvPr id="43" name="组合 42"/>
          <xdr:cNvGrpSpPr/>
        </xdr:nvGrpSpPr>
        <xdr:grpSpPr>
          <a:xfrm>
            <a:off x="298" y="3392"/>
            <a:ext cx="232" cy="590"/>
            <a:chOff x="298" y="3392"/>
            <a:chExt cx="232" cy="590"/>
          </a:xfrm>
        </xdr:grpSpPr>
        <xdr:sp macro="" textlink="">
          <xdr:nvSpPr>
            <xdr:cNvPr id="45" name="直接连接符 44"/>
            <xdr:cNvSpPr/>
          </xdr:nvSpPr>
          <xdr:spPr>
            <a:xfrm>
              <a:off x="348" y="3684"/>
              <a:ext cx="182" cy="0"/>
            </a:xfrm>
            <a:prstGeom prst="line">
              <a:avLst/>
            </a:prstGeom>
            <a:ln w="38100" cap="flat" cmpd="sng">
              <a:solidFill>
                <a:schemeClr val="tx2"/>
              </a:solidFill>
              <a:prstDash val="solid"/>
              <a:headEnd type="none" w="sm" len="lg"/>
              <a:tailEnd type="none" w="sm" len="lg"/>
            </a:ln>
          </xdr:spPr>
        </xdr:sp>
        <xdr:sp macro="" textlink="">
          <xdr:nvSpPr>
            <xdr:cNvPr id="46" name="椭圆 45"/>
            <xdr:cNvSpPr/>
          </xdr:nvSpPr>
          <xdr:spPr>
            <a:xfrm>
              <a:off x="304" y="3692"/>
              <a:ext cx="110" cy="290"/>
            </a:xfrm>
            <a:prstGeom prst="ellipse">
              <a:avLst/>
            </a:prstGeom>
            <a:solidFill>
              <a:srgbClr val="CC6600"/>
            </a:solidFill>
            <a:ln w="19050"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47" name="椭圆 46"/>
            <xdr:cNvSpPr/>
          </xdr:nvSpPr>
          <xdr:spPr>
            <a:xfrm>
              <a:off x="298" y="3392"/>
              <a:ext cx="110" cy="290"/>
            </a:xfrm>
            <a:prstGeom prst="ellipse">
              <a:avLst/>
            </a:prstGeom>
            <a:solidFill>
              <a:srgbClr val="CC6600"/>
            </a:solidFill>
            <a:ln w="19050"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sp macro="" textlink="">
        <xdr:nvSpPr>
          <xdr:cNvPr id="44" name="任意多边形 43"/>
          <xdr:cNvSpPr/>
        </xdr:nvSpPr>
        <xdr:spPr>
          <a:xfrm>
            <a:off x="195" y="3276"/>
            <a:ext cx="414" cy="810"/>
          </a:xfrm>
          <a:custGeom>
            <a:avLst/>
            <a:gdLst/>
            <a:ahLst/>
            <a:cxnLst/>
            <a:rect l="0" t="0" r="0" b="0"/>
            <a:pathLst>
              <a:path w="414" h="810">
                <a:moveTo>
                  <a:pt x="414" y="0"/>
                </a:moveTo>
                <a:lnTo>
                  <a:pt x="414" y="54"/>
                </a:lnTo>
                <a:lnTo>
                  <a:pt x="48" y="54"/>
                </a:lnTo>
                <a:lnTo>
                  <a:pt x="24" y="66"/>
                </a:lnTo>
                <a:lnTo>
                  <a:pt x="0" y="87"/>
                </a:lnTo>
                <a:lnTo>
                  <a:pt x="0" y="741"/>
                </a:lnTo>
                <a:lnTo>
                  <a:pt x="15" y="765"/>
                </a:lnTo>
                <a:lnTo>
                  <a:pt x="45" y="777"/>
                </a:lnTo>
                <a:lnTo>
                  <a:pt x="414" y="777"/>
                </a:lnTo>
                <a:lnTo>
                  <a:pt x="414" y="810"/>
                </a:lnTo>
              </a:path>
            </a:pathLst>
          </a:custGeom>
          <a:noFill/>
          <a:ln w="28575" cap="flat" cmpd="sng">
            <a:solidFill>
              <a:srgbClr val="FF0000"/>
            </a:solidFill>
            <a:prstDash val="sysDot"/>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clientData/>
  </xdr:twoCellAnchor>
  <xdr:twoCellAnchor>
    <xdr:from>
      <xdr:col>0</xdr:col>
      <xdr:colOff>428625</xdr:colOff>
      <xdr:row>81</xdr:row>
      <xdr:rowOff>57152</xdr:rowOff>
    </xdr:from>
    <xdr:to>
      <xdr:col>1</xdr:col>
      <xdr:colOff>495299</xdr:colOff>
      <xdr:row>88</xdr:row>
      <xdr:rowOff>133350</xdr:rowOff>
    </xdr:to>
    <xdr:grpSp>
      <xdr:nvGrpSpPr>
        <xdr:cNvPr id="48" name="组合 47"/>
        <xdr:cNvGrpSpPr/>
      </xdr:nvGrpSpPr>
      <xdr:grpSpPr>
        <a:xfrm>
          <a:off x="428625" y="17097377"/>
          <a:ext cx="1257299" cy="1543048"/>
          <a:chOff x="848" y="2660"/>
          <a:chExt cx="1245" cy="1526"/>
        </a:xfrm>
      </xdr:grpSpPr>
      <xdr:grpSp>
        <xdr:nvGrpSpPr>
          <xdr:cNvPr id="49" name="组合 48"/>
          <xdr:cNvGrpSpPr/>
        </xdr:nvGrpSpPr>
        <xdr:grpSpPr>
          <a:xfrm>
            <a:off x="848" y="2660"/>
            <a:ext cx="1245" cy="1189"/>
            <a:chOff x="848" y="2744"/>
            <a:chExt cx="1245" cy="1189"/>
          </a:xfrm>
        </xdr:grpSpPr>
        <xdr:sp macro="" textlink="">
          <xdr:nvSpPr>
            <xdr:cNvPr id="73" name="直接连接符 72"/>
            <xdr:cNvSpPr/>
          </xdr:nvSpPr>
          <xdr:spPr>
            <a:xfrm>
              <a:off x="848" y="3803"/>
              <a:ext cx="1245" cy="0"/>
            </a:xfrm>
            <a:prstGeom prst="line">
              <a:avLst/>
            </a:prstGeom>
            <a:ln w="38100" cap="flat" cmpd="sng">
              <a:solidFill>
                <a:schemeClr val="tx2"/>
              </a:solidFill>
              <a:prstDash val="solid"/>
              <a:headEnd type="none" w="med" len="med"/>
              <a:tailEnd type="none" w="med" len="med"/>
            </a:ln>
          </xdr:spPr>
        </xdr:sp>
        <xdr:sp macro="" textlink="">
          <xdr:nvSpPr>
            <xdr:cNvPr id="74" name="椭圆 73"/>
            <xdr:cNvSpPr/>
          </xdr:nvSpPr>
          <xdr:spPr>
            <a:xfrm>
              <a:off x="1062" y="2844"/>
              <a:ext cx="813" cy="797"/>
            </a:xfrm>
            <a:prstGeom prst="ellipse">
              <a:avLst/>
            </a:prstGeom>
            <a:noFill/>
            <a:ln w="28575"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75" name="直接连接符 74"/>
            <xdr:cNvSpPr/>
          </xdr:nvSpPr>
          <xdr:spPr>
            <a:xfrm>
              <a:off x="968" y="3233"/>
              <a:ext cx="1021" cy="0"/>
            </a:xfrm>
            <a:prstGeom prst="line">
              <a:avLst/>
            </a:prstGeom>
            <a:ln w="19050" cap="flat" cmpd="sng">
              <a:solidFill>
                <a:schemeClr val="tx2"/>
              </a:solidFill>
              <a:prstDash val="lgDashDot"/>
              <a:headEnd type="none" w="med" len="med"/>
              <a:tailEnd type="none" w="med" len="med"/>
            </a:ln>
          </xdr:spPr>
        </xdr:sp>
        <xdr:sp macro="" textlink="">
          <xdr:nvSpPr>
            <xdr:cNvPr id="76" name="直接连接符 75"/>
            <xdr:cNvSpPr/>
          </xdr:nvSpPr>
          <xdr:spPr>
            <a:xfrm>
              <a:off x="1465" y="2744"/>
              <a:ext cx="0" cy="971"/>
            </a:xfrm>
            <a:prstGeom prst="line">
              <a:avLst/>
            </a:prstGeom>
            <a:ln w="19050" cap="flat" cmpd="sng">
              <a:solidFill>
                <a:schemeClr val="tx2"/>
              </a:solidFill>
              <a:prstDash val="lgDashDot"/>
              <a:headEnd type="none" w="med" len="med"/>
              <a:tailEnd type="none" w="med" len="med"/>
            </a:ln>
          </xdr:spPr>
        </xdr:sp>
        <xdr:sp macro="" textlink="">
          <xdr:nvSpPr>
            <xdr:cNvPr id="77" name="矩形 76"/>
            <xdr:cNvSpPr/>
          </xdr:nvSpPr>
          <xdr:spPr bwMode="white">
            <a:xfrm>
              <a:off x="1073" y="3654"/>
              <a:ext cx="753" cy="279"/>
            </a:xfrm>
            <a:prstGeom prst="rect">
              <a:avLst/>
            </a:prstGeom>
            <a:noFill/>
            <a:ln w="28575" cap="flat" cmpd="sng">
              <a:solidFill>
                <a:schemeClr val="tx2"/>
              </a:solidFill>
              <a:prstDash val="solid"/>
              <a:miter/>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78" name="椭圆 77"/>
            <xdr:cNvSpPr/>
          </xdr:nvSpPr>
          <xdr:spPr>
            <a:xfrm>
              <a:off x="1427" y="3634"/>
              <a:ext cx="46" cy="43"/>
            </a:xfrm>
            <a:prstGeom prst="ellipse">
              <a:avLst/>
            </a:prstGeom>
            <a:solidFill>
              <a:srgbClr val="333399"/>
            </a:solidFill>
            <a:ln w="19050"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79" name="椭圆 78"/>
            <xdr:cNvSpPr/>
          </xdr:nvSpPr>
          <xdr:spPr>
            <a:xfrm>
              <a:off x="1439" y="3210"/>
              <a:ext cx="47" cy="43"/>
            </a:xfrm>
            <a:prstGeom prst="ellipse">
              <a:avLst/>
            </a:prstGeom>
            <a:solidFill>
              <a:srgbClr val="333399"/>
            </a:solidFill>
            <a:ln w="19050"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grpSp>
        <xdr:nvGrpSpPr>
          <xdr:cNvPr id="50" name="组合 49"/>
          <xdr:cNvGrpSpPr/>
        </xdr:nvGrpSpPr>
        <xdr:grpSpPr>
          <a:xfrm>
            <a:off x="906" y="2699"/>
            <a:ext cx="1128" cy="1487"/>
            <a:chOff x="906" y="2783"/>
            <a:chExt cx="1128" cy="1487"/>
          </a:xfrm>
        </xdr:grpSpPr>
        <xdr:grpSp>
          <xdr:nvGrpSpPr>
            <xdr:cNvPr id="57" name="组合 56"/>
            <xdr:cNvGrpSpPr/>
          </xdr:nvGrpSpPr>
          <xdr:grpSpPr>
            <a:xfrm>
              <a:off x="930" y="2783"/>
              <a:ext cx="1074" cy="446"/>
              <a:chOff x="930" y="2783"/>
              <a:chExt cx="1074" cy="446"/>
            </a:xfrm>
          </xdr:grpSpPr>
          <xdr:grpSp>
            <xdr:nvGrpSpPr>
              <xdr:cNvPr id="68" name="组合 67"/>
              <xdr:cNvGrpSpPr/>
            </xdr:nvGrpSpPr>
            <xdr:grpSpPr>
              <a:xfrm>
                <a:off x="992" y="2783"/>
                <a:ext cx="953" cy="446"/>
                <a:chOff x="968" y="2783"/>
                <a:chExt cx="987" cy="446"/>
              </a:xfrm>
            </xdr:grpSpPr>
            <xdr:sp macro="" textlink="">
              <xdr:nvSpPr>
                <xdr:cNvPr id="71" name="任意多边形 70"/>
                <xdr:cNvSpPr/>
              </xdr:nvSpPr>
              <xdr:spPr>
                <a:xfrm>
                  <a:off x="1462" y="2783"/>
                  <a:ext cx="493" cy="446"/>
                </a:xfrm>
                <a:custGeom>
                  <a:avLst/>
                  <a:gdLst>
                    <a:gd name="txL" fmla="*/ 0 w 21574"/>
                    <a:gd name="txT" fmla="*/ 0 h 21600"/>
                    <a:gd name="txR" fmla="*/ 21574 w 21574"/>
                    <a:gd name="txB" fmla="*/ 21600 h 21600"/>
                  </a:gdLst>
                  <a:ahLst/>
                  <a:cxnLst>
                    <a:cxn ang="270">
                      <a:pos x="0" y="0"/>
                    </a:cxn>
                    <a:cxn ang="0">
                      <a:pos x="21573" y="20536"/>
                    </a:cxn>
                    <a:cxn ang="90">
                      <a:pos x="0" y="21600"/>
                    </a:cxn>
                  </a:cxnLst>
                  <a:rect l="txL" t="txT" r="txR" b="txB"/>
                  <a:pathLst>
                    <a:path w="21574" h="21600" fill="none">
                      <a:moveTo>
                        <a:pt x="0" y="0"/>
                      </a:moveTo>
                      <a:arcTo wR="21600" hR="21600" stAng="-5400000" swAng="5230584"/>
                    </a:path>
                    <a:path w="21574" h="21600" stroke="0">
                      <a:moveTo>
                        <a:pt x="0" y="0"/>
                      </a:moveTo>
                      <a:arcTo wR="21600" hR="21600" stAng="-5400000" swAng="5230584"/>
                      <a:lnTo>
                        <a:pt x="0" y="21600"/>
                      </a:lnTo>
                      <a:close/>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72" name="任意多边形 71"/>
                <xdr:cNvSpPr/>
              </xdr:nvSpPr>
              <xdr:spPr>
                <a:xfrm flipH="1">
                  <a:off x="968" y="2783"/>
                  <a:ext cx="493" cy="446"/>
                </a:xfrm>
                <a:custGeom>
                  <a:avLst/>
                  <a:gdLst>
                    <a:gd name="txL" fmla="*/ 0 w 21574"/>
                    <a:gd name="txT" fmla="*/ 0 h 21600"/>
                    <a:gd name="txR" fmla="*/ 21574 w 21574"/>
                    <a:gd name="txB" fmla="*/ 21600 h 21600"/>
                  </a:gdLst>
                  <a:ahLst/>
                  <a:cxnLst>
                    <a:cxn ang="270">
                      <a:pos x="0" y="0"/>
                    </a:cxn>
                    <a:cxn ang="0">
                      <a:pos x="21573" y="20536"/>
                    </a:cxn>
                    <a:cxn ang="90">
                      <a:pos x="0" y="21600"/>
                    </a:cxn>
                  </a:cxnLst>
                  <a:rect l="txL" t="txT" r="txR" b="txB"/>
                  <a:pathLst>
                    <a:path w="21574" h="21600" fill="none">
                      <a:moveTo>
                        <a:pt x="0" y="0"/>
                      </a:moveTo>
                      <a:arcTo wR="21600" hR="21600" stAng="-5400000" swAng="5230584"/>
                    </a:path>
                    <a:path w="21574" h="21600" stroke="0">
                      <a:moveTo>
                        <a:pt x="0" y="0"/>
                      </a:moveTo>
                      <a:arcTo wR="21600" hR="21600" stAng="-5400000" swAng="5230584"/>
                      <a:lnTo>
                        <a:pt x="0" y="21600"/>
                      </a:lnTo>
                      <a:close/>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sp macro="" textlink="">
            <xdr:nvSpPr>
              <xdr:cNvPr id="69" name="直接连接符 68"/>
              <xdr:cNvSpPr/>
            </xdr:nvSpPr>
            <xdr:spPr>
              <a:xfrm flipH="1">
                <a:off x="930" y="3200"/>
                <a:ext cx="70" cy="0"/>
              </a:xfrm>
              <a:prstGeom prst="line">
                <a:avLst/>
              </a:prstGeom>
              <a:ln w="28575" cap="flat" cmpd="sng">
                <a:solidFill>
                  <a:schemeClr val="tx2"/>
                </a:solidFill>
                <a:prstDash val="solid"/>
                <a:headEnd type="none" w="sm" len="lg"/>
                <a:tailEnd type="none" w="sm" len="lg"/>
              </a:ln>
            </xdr:spPr>
          </xdr:sp>
          <xdr:sp macro="" textlink="">
            <xdr:nvSpPr>
              <xdr:cNvPr id="70" name="直接连接符 69"/>
              <xdr:cNvSpPr/>
            </xdr:nvSpPr>
            <xdr:spPr>
              <a:xfrm flipH="1">
                <a:off x="1934" y="3204"/>
                <a:ext cx="70" cy="0"/>
              </a:xfrm>
              <a:prstGeom prst="line">
                <a:avLst/>
              </a:prstGeom>
              <a:ln w="28575" cap="flat" cmpd="sng">
                <a:solidFill>
                  <a:schemeClr val="tx2"/>
                </a:solidFill>
                <a:prstDash val="solid"/>
                <a:headEnd type="none" w="sm" len="lg"/>
                <a:tailEnd type="none" w="sm" len="lg"/>
              </a:ln>
            </xdr:spPr>
          </xdr:sp>
        </xdr:grpSp>
        <xdr:grpSp>
          <xdr:nvGrpSpPr>
            <xdr:cNvPr id="58" name="组合 57"/>
            <xdr:cNvGrpSpPr/>
          </xdr:nvGrpSpPr>
          <xdr:grpSpPr>
            <a:xfrm>
              <a:off x="930" y="3254"/>
              <a:ext cx="74" cy="516"/>
              <a:chOff x="930" y="3254"/>
              <a:chExt cx="74" cy="516"/>
            </a:xfrm>
          </xdr:grpSpPr>
          <xdr:sp macro="" textlink="">
            <xdr:nvSpPr>
              <xdr:cNvPr id="65" name="直接连接符 64"/>
              <xdr:cNvSpPr/>
            </xdr:nvSpPr>
            <xdr:spPr>
              <a:xfrm flipH="1">
                <a:off x="934" y="3254"/>
                <a:ext cx="70" cy="0"/>
              </a:xfrm>
              <a:prstGeom prst="line">
                <a:avLst/>
              </a:prstGeom>
              <a:ln w="28575" cap="flat" cmpd="sng">
                <a:solidFill>
                  <a:schemeClr val="tx2"/>
                </a:solidFill>
                <a:prstDash val="solid"/>
                <a:headEnd type="none" w="sm" len="lg"/>
                <a:tailEnd type="none" w="sm" len="lg"/>
              </a:ln>
            </xdr:spPr>
          </xdr:sp>
          <xdr:sp macro="" textlink="">
            <xdr:nvSpPr>
              <xdr:cNvPr id="66" name="直接连接符 65"/>
              <xdr:cNvSpPr/>
            </xdr:nvSpPr>
            <xdr:spPr>
              <a:xfrm>
                <a:off x="966" y="3256"/>
                <a:ext cx="0" cy="514"/>
              </a:xfrm>
              <a:prstGeom prst="line">
                <a:avLst/>
              </a:prstGeom>
              <a:ln w="28575" cap="flat" cmpd="sng">
                <a:solidFill>
                  <a:schemeClr val="tx2"/>
                </a:solidFill>
                <a:prstDash val="solid"/>
                <a:headEnd type="none" w="sm" len="lg"/>
                <a:tailEnd type="none" w="sm" len="lg"/>
              </a:ln>
            </xdr:spPr>
          </xdr:sp>
          <xdr:sp macro="" textlink="">
            <xdr:nvSpPr>
              <xdr:cNvPr id="67" name="直接连接符 66"/>
              <xdr:cNvSpPr/>
            </xdr:nvSpPr>
            <xdr:spPr>
              <a:xfrm>
                <a:off x="930" y="3764"/>
                <a:ext cx="68" cy="0"/>
              </a:xfrm>
              <a:prstGeom prst="line">
                <a:avLst/>
              </a:prstGeom>
              <a:ln w="28575" cap="flat" cmpd="sng">
                <a:solidFill>
                  <a:schemeClr val="tx2"/>
                </a:solidFill>
                <a:prstDash val="solid"/>
                <a:headEnd type="none" w="sm" len="lg"/>
                <a:tailEnd type="none" w="sm" len="lg"/>
              </a:ln>
            </xdr:spPr>
          </xdr:sp>
        </xdr:grpSp>
        <xdr:grpSp>
          <xdr:nvGrpSpPr>
            <xdr:cNvPr id="59" name="组合 58"/>
            <xdr:cNvGrpSpPr/>
          </xdr:nvGrpSpPr>
          <xdr:grpSpPr>
            <a:xfrm>
              <a:off x="1932" y="3258"/>
              <a:ext cx="74" cy="516"/>
              <a:chOff x="930" y="3254"/>
              <a:chExt cx="74" cy="516"/>
            </a:xfrm>
          </xdr:grpSpPr>
          <xdr:sp macro="" textlink="">
            <xdr:nvSpPr>
              <xdr:cNvPr id="62" name="直接连接符 61"/>
              <xdr:cNvSpPr/>
            </xdr:nvSpPr>
            <xdr:spPr>
              <a:xfrm flipH="1">
                <a:off x="934" y="3254"/>
                <a:ext cx="70" cy="0"/>
              </a:xfrm>
              <a:prstGeom prst="line">
                <a:avLst/>
              </a:prstGeom>
              <a:ln w="28575" cap="flat" cmpd="sng">
                <a:solidFill>
                  <a:schemeClr val="tx2"/>
                </a:solidFill>
                <a:prstDash val="solid"/>
                <a:headEnd type="none" w="sm" len="lg"/>
                <a:tailEnd type="none" w="sm" len="lg"/>
              </a:ln>
            </xdr:spPr>
          </xdr:sp>
          <xdr:sp macro="" textlink="">
            <xdr:nvSpPr>
              <xdr:cNvPr id="63" name="直接连接符 62"/>
              <xdr:cNvSpPr/>
            </xdr:nvSpPr>
            <xdr:spPr>
              <a:xfrm>
                <a:off x="966" y="3256"/>
                <a:ext cx="0" cy="514"/>
              </a:xfrm>
              <a:prstGeom prst="line">
                <a:avLst/>
              </a:prstGeom>
              <a:ln w="28575" cap="flat" cmpd="sng">
                <a:solidFill>
                  <a:schemeClr val="tx2"/>
                </a:solidFill>
                <a:prstDash val="solid"/>
                <a:headEnd type="none" w="sm" len="lg"/>
                <a:tailEnd type="none" w="sm" len="lg"/>
              </a:ln>
            </xdr:spPr>
          </xdr:sp>
          <xdr:sp macro="" textlink="">
            <xdr:nvSpPr>
              <xdr:cNvPr id="64" name="直接连接符 63"/>
              <xdr:cNvSpPr/>
            </xdr:nvSpPr>
            <xdr:spPr>
              <a:xfrm>
                <a:off x="930" y="3764"/>
                <a:ext cx="68" cy="0"/>
              </a:xfrm>
              <a:prstGeom prst="line">
                <a:avLst/>
              </a:prstGeom>
              <a:ln w="28575" cap="flat" cmpd="sng">
                <a:solidFill>
                  <a:schemeClr val="tx2"/>
                </a:solidFill>
                <a:prstDash val="solid"/>
                <a:headEnd type="none" w="sm" len="lg"/>
                <a:tailEnd type="none" w="sm" len="lg"/>
              </a:ln>
            </xdr:spPr>
          </xdr:sp>
        </xdr:grpSp>
        <xdr:sp macro="" textlink="">
          <xdr:nvSpPr>
            <xdr:cNvPr id="60" name="任意多边形 59"/>
            <xdr:cNvSpPr/>
          </xdr:nvSpPr>
          <xdr:spPr>
            <a:xfrm>
              <a:off x="906" y="3838"/>
              <a:ext cx="546" cy="432"/>
            </a:xfrm>
            <a:custGeom>
              <a:avLst/>
              <a:gdLst/>
              <a:ahLst/>
              <a:cxnLst/>
              <a:rect l="0" t="0" r="0" b="0"/>
              <a:pathLst>
                <a:path w="546" h="432">
                  <a:moveTo>
                    <a:pt x="26" y="0"/>
                  </a:moveTo>
                  <a:lnTo>
                    <a:pt x="88" y="0"/>
                  </a:lnTo>
                  <a:lnTo>
                    <a:pt x="56" y="0"/>
                  </a:lnTo>
                  <a:lnTo>
                    <a:pt x="56" y="350"/>
                  </a:lnTo>
                  <a:lnTo>
                    <a:pt x="50" y="386"/>
                  </a:lnTo>
                  <a:lnTo>
                    <a:pt x="36" y="404"/>
                  </a:lnTo>
                  <a:lnTo>
                    <a:pt x="0" y="432"/>
                  </a:lnTo>
                  <a:lnTo>
                    <a:pt x="26" y="412"/>
                  </a:lnTo>
                  <a:lnTo>
                    <a:pt x="46" y="392"/>
                  </a:lnTo>
                  <a:lnTo>
                    <a:pt x="56" y="362"/>
                  </a:lnTo>
                  <a:lnTo>
                    <a:pt x="546" y="362"/>
                  </a:lnTo>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61" name="任意多边形 60"/>
            <xdr:cNvSpPr/>
          </xdr:nvSpPr>
          <xdr:spPr>
            <a:xfrm flipH="1">
              <a:off x="1444" y="3838"/>
              <a:ext cx="590" cy="432"/>
            </a:xfrm>
            <a:custGeom>
              <a:avLst/>
              <a:gdLst/>
              <a:ahLst/>
              <a:cxnLst/>
              <a:rect l="0" t="0" r="0" b="0"/>
              <a:pathLst>
                <a:path w="546" h="432">
                  <a:moveTo>
                    <a:pt x="26" y="0"/>
                  </a:moveTo>
                  <a:lnTo>
                    <a:pt x="88" y="0"/>
                  </a:lnTo>
                  <a:lnTo>
                    <a:pt x="56" y="0"/>
                  </a:lnTo>
                  <a:lnTo>
                    <a:pt x="56" y="350"/>
                  </a:lnTo>
                  <a:lnTo>
                    <a:pt x="50" y="386"/>
                  </a:lnTo>
                  <a:lnTo>
                    <a:pt x="36" y="404"/>
                  </a:lnTo>
                  <a:lnTo>
                    <a:pt x="0" y="432"/>
                  </a:lnTo>
                  <a:lnTo>
                    <a:pt x="26" y="412"/>
                  </a:lnTo>
                  <a:lnTo>
                    <a:pt x="46" y="392"/>
                  </a:lnTo>
                  <a:lnTo>
                    <a:pt x="56" y="362"/>
                  </a:lnTo>
                  <a:lnTo>
                    <a:pt x="546" y="362"/>
                  </a:lnTo>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sp macro="" textlink="">
        <xdr:nvSpPr>
          <xdr:cNvPr id="51" name="直接连接符 50"/>
          <xdr:cNvSpPr/>
        </xdr:nvSpPr>
        <xdr:spPr>
          <a:xfrm>
            <a:off x="1020" y="3822"/>
            <a:ext cx="904" cy="0"/>
          </a:xfrm>
          <a:prstGeom prst="line">
            <a:avLst/>
          </a:prstGeom>
          <a:ln w="12700" cap="flat" cmpd="sng">
            <a:solidFill>
              <a:schemeClr val="tx2"/>
            </a:solidFill>
            <a:prstDash val="lgDash"/>
            <a:headEnd type="none" w="sm" len="lg"/>
            <a:tailEnd type="none" w="sm" len="lg"/>
          </a:ln>
        </xdr:spPr>
      </xdr:sp>
      <xdr:sp macro="" textlink="">
        <xdr:nvSpPr>
          <xdr:cNvPr id="52" name="直接连接符 51"/>
          <xdr:cNvSpPr/>
        </xdr:nvSpPr>
        <xdr:spPr>
          <a:xfrm>
            <a:off x="984" y="3870"/>
            <a:ext cx="904" cy="0"/>
          </a:xfrm>
          <a:prstGeom prst="line">
            <a:avLst/>
          </a:prstGeom>
          <a:ln w="12700" cap="flat" cmpd="sng">
            <a:solidFill>
              <a:schemeClr val="tx2"/>
            </a:solidFill>
            <a:prstDash val="lgDash"/>
            <a:headEnd type="none" w="sm" len="lg"/>
            <a:tailEnd type="none" w="sm" len="lg"/>
          </a:ln>
        </xdr:spPr>
      </xdr:sp>
      <xdr:sp macro="" textlink="">
        <xdr:nvSpPr>
          <xdr:cNvPr id="53" name="直接连接符 52"/>
          <xdr:cNvSpPr/>
        </xdr:nvSpPr>
        <xdr:spPr>
          <a:xfrm>
            <a:off x="1040" y="3914"/>
            <a:ext cx="904" cy="0"/>
          </a:xfrm>
          <a:prstGeom prst="line">
            <a:avLst/>
          </a:prstGeom>
          <a:ln w="12700" cap="flat" cmpd="sng">
            <a:solidFill>
              <a:schemeClr val="tx2"/>
            </a:solidFill>
            <a:prstDash val="lgDash"/>
            <a:headEnd type="none" w="sm" len="lg"/>
            <a:tailEnd type="none" w="sm" len="lg"/>
          </a:ln>
        </xdr:spPr>
      </xdr:sp>
      <xdr:sp macro="" textlink="">
        <xdr:nvSpPr>
          <xdr:cNvPr id="54" name="直接连接符 53"/>
          <xdr:cNvSpPr/>
        </xdr:nvSpPr>
        <xdr:spPr>
          <a:xfrm>
            <a:off x="986" y="3964"/>
            <a:ext cx="904" cy="0"/>
          </a:xfrm>
          <a:prstGeom prst="line">
            <a:avLst/>
          </a:prstGeom>
          <a:ln w="12700" cap="flat" cmpd="sng">
            <a:solidFill>
              <a:schemeClr val="tx2"/>
            </a:solidFill>
            <a:prstDash val="lgDash"/>
            <a:headEnd type="none" w="sm" len="lg"/>
            <a:tailEnd type="none" w="sm" len="lg"/>
          </a:ln>
        </xdr:spPr>
      </xdr:sp>
      <xdr:sp macro="" textlink="">
        <xdr:nvSpPr>
          <xdr:cNvPr id="55" name="直接连接符 54"/>
          <xdr:cNvSpPr/>
        </xdr:nvSpPr>
        <xdr:spPr>
          <a:xfrm>
            <a:off x="1036" y="4014"/>
            <a:ext cx="904" cy="0"/>
          </a:xfrm>
          <a:prstGeom prst="line">
            <a:avLst/>
          </a:prstGeom>
          <a:ln w="12700" cap="flat" cmpd="sng">
            <a:solidFill>
              <a:schemeClr val="tx2"/>
            </a:solidFill>
            <a:prstDash val="lgDash"/>
            <a:headEnd type="none" w="sm" len="lg"/>
            <a:tailEnd type="none" w="sm" len="lg"/>
          </a:ln>
        </xdr:spPr>
      </xdr:sp>
      <xdr:sp macro="" textlink="">
        <xdr:nvSpPr>
          <xdr:cNvPr id="56" name="直接连接符 55"/>
          <xdr:cNvSpPr/>
        </xdr:nvSpPr>
        <xdr:spPr>
          <a:xfrm>
            <a:off x="996" y="4070"/>
            <a:ext cx="904" cy="0"/>
          </a:xfrm>
          <a:prstGeom prst="line">
            <a:avLst/>
          </a:prstGeom>
          <a:ln w="12700" cap="flat" cmpd="sng">
            <a:solidFill>
              <a:schemeClr val="tx2"/>
            </a:solidFill>
            <a:prstDash val="lgDash"/>
            <a:headEnd type="none" w="sm" len="lg"/>
            <a:tailEnd type="none" w="sm" len="lg"/>
          </a:ln>
        </xdr:spPr>
      </xdr:sp>
    </xdr:grpSp>
    <xdr:clientData/>
  </xdr:twoCellAnchor>
  <xdr:twoCellAnchor>
    <xdr:from>
      <xdr:col>1</xdr:col>
      <xdr:colOff>384175</xdr:colOff>
      <xdr:row>85</xdr:row>
      <xdr:rowOff>141288</xdr:rowOff>
    </xdr:from>
    <xdr:to>
      <xdr:col>1</xdr:col>
      <xdr:colOff>636175</xdr:colOff>
      <xdr:row>85</xdr:row>
      <xdr:rowOff>141288</xdr:rowOff>
    </xdr:to>
    <xdr:sp macro="" textlink="">
      <xdr:nvSpPr>
        <xdr:cNvPr id="87" name="直接连接符 86"/>
        <xdr:cNvSpPr/>
      </xdr:nvSpPr>
      <xdr:spPr>
        <a:xfrm>
          <a:off x="1574800" y="18181638"/>
          <a:ext cx="252000" cy="0"/>
        </a:xfrm>
        <a:prstGeom prst="line">
          <a:avLst/>
        </a:prstGeom>
        <a:ln w="28575" cap="flat" cmpd="sng">
          <a:solidFill>
            <a:srgbClr val="FF0000"/>
          </a:solidFill>
          <a:prstDash val="solid"/>
          <a:headEnd type="none" w="sm" len="lg"/>
          <a:tailEnd type="triangle" w="sm" len="lg"/>
        </a:ln>
      </xdr:spPr>
    </xdr:sp>
    <xdr:clientData/>
  </xdr:twoCellAnchor>
  <xdr:twoCellAnchor>
    <xdr:from>
      <xdr:col>1</xdr:col>
      <xdr:colOff>381000</xdr:colOff>
      <xdr:row>86</xdr:row>
      <xdr:rowOff>66675</xdr:rowOff>
    </xdr:from>
    <xdr:to>
      <xdr:col>1</xdr:col>
      <xdr:colOff>633000</xdr:colOff>
      <xdr:row>86</xdr:row>
      <xdr:rowOff>66675</xdr:rowOff>
    </xdr:to>
    <xdr:sp macro="" textlink="">
      <xdr:nvSpPr>
        <xdr:cNvPr id="125" name="直接连接符 124"/>
        <xdr:cNvSpPr/>
      </xdr:nvSpPr>
      <xdr:spPr>
        <a:xfrm>
          <a:off x="1571625" y="18316575"/>
          <a:ext cx="252000" cy="0"/>
        </a:xfrm>
        <a:prstGeom prst="line">
          <a:avLst/>
        </a:prstGeom>
        <a:ln w="28575" cap="flat" cmpd="sng">
          <a:solidFill>
            <a:srgbClr val="FF0000"/>
          </a:solidFill>
          <a:prstDash val="solid"/>
          <a:headEnd type="none" w="sm" len="lg"/>
          <a:tailEnd type="triangle" w="sm" len="lg"/>
        </a:ln>
      </xdr:spPr>
    </xdr:sp>
    <xdr:clientData/>
  </xdr:twoCellAnchor>
  <xdr:twoCellAnchor>
    <xdr:from>
      <xdr:col>1</xdr:col>
      <xdr:colOff>381000</xdr:colOff>
      <xdr:row>86</xdr:row>
      <xdr:rowOff>190500</xdr:rowOff>
    </xdr:from>
    <xdr:to>
      <xdr:col>1</xdr:col>
      <xdr:colOff>633000</xdr:colOff>
      <xdr:row>86</xdr:row>
      <xdr:rowOff>190500</xdr:rowOff>
    </xdr:to>
    <xdr:sp macro="" textlink="">
      <xdr:nvSpPr>
        <xdr:cNvPr id="126" name="直接连接符 125"/>
        <xdr:cNvSpPr/>
      </xdr:nvSpPr>
      <xdr:spPr>
        <a:xfrm>
          <a:off x="1571625" y="18440400"/>
          <a:ext cx="252000" cy="0"/>
        </a:xfrm>
        <a:prstGeom prst="line">
          <a:avLst/>
        </a:prstGeom>
        <a:ln w="28575" cap="flat" cmpd="sng">
          <a:solidFill>
            <a:srgbClr val="FF0000"/>
          </a:solidFill>
          <a:prstDash val="solid"/>
          <a:headEnd type="none" w="sm" len="lg"/>
          <a:tailEnd type="triangle" w="sm" len="lg"/>
        </a:ln>
      </xdr:spPr>
    </xdr:sp>
    <xdr:clientData/>
  </xdr:twoCellAnchor>
  <xdr:twoCellAnchor>
    <xdr:from>
      <xdr:col>1</xdr:col>
      <xdr:colOff>637861</xdr:colOff>
      <xdr:row>85</xdr:row>
      <xdr:rowOff>180683</xdr:rowOff>
    </xdr:from>
    <xdr:to>
      <xdr:col>2</xdr:col>
      <xdr:colOff>820881</xdr:colOff>
      <xdr:row>88</xdr:row>
      <xdr:rowOff>164033</xdr:rowOff>
    </xdr:to>
    <xdr:grpSp>
      <xdr:nvGrpSpPr>
        <xdr:cNvPr id="127" name="组合 126"/>
        <xdr:cNvGrpSpPr/>
      </xdr:nvGrpSpPr>
      <xdr:grpSpPr>
        <a:xfrm>
          <a:off x="1828486" y="18059108"/>
          <a:ext cx="1392695" cy="612000"/>
          <a:chOff x="1888" y="3570"/>
          <a:chExt cx="1472" cy="569"/>
        </a:xfrm>
      </xdr:grpSpPr>
      <xdr:grpSp>
        <xdr:nvGrpSpPr>
          <xdr:cNvPr id="128" name="组合 127"/>
          <xdr:cNvGrpSpPr/>
        </xdr:nvGrpSpPr>
        <xdr:grpSpPr>
          <a:xfrm>
            <a:off x="2180" y="3856"/>
            <a:ext cx="1180" cy="164"/>
            <a:chOff x="2012" y="3856"/>
            <a:chExt cx="1180" cy="164"/>
          </a:xfrm>
        </xdr:grpSpPr>
        <xdr:sp macro="" textlink="">
          <xdr:nvSpPr>
            <xdr:cNvPr id="130" name="任意多边形 129"/>
            <xdr:cNvSpPr/>
          </xdr:nvSpPr>
          <xdr:spPr>
            <a:xfrm>
              <a:off x="2224" y="3856"/>
              <a:ext cx="968" cy="164"/>
            </a:xfrm>
            <a:custGeom>
              <a:avLst/>
              <a:gdLst/>
              <a:ahLst/>
              <a:cxnLst/>
              <a:rect l="0" t="0" r="0" b="0"/>
              <a:pathLst>
                <a:path w="968" h="164">
                  <a:moveTo>
                    <a:pt x="0" y="0"/>
                  </a:moveTo>
                  <a:lnTo>
                    <a:pt x="942" y="2"/>
                  </a:lnTo>
                  <a:lnTo>
                    <a:pt x="960" y="16"/>
                  </a:lnTo>
                  <a:lnTo>
                    <a:pt x="962" y="38"/>
                  </a:lnTo>
                  <a:lnTo>
                    <a:pt x="948" y="56"/>
                  </a:lnTo>
                  <a:lnTo>
                    <a:pt x="76" y="56"/>
                  </a:lnTo>
                  <a:lnTo>
                    <a:pt x="66" y="72"/>
                  </a:lnTo>
                  <a:lnTo>
                    <a:pt x="68" y="90"/>
                  </a:lnTo>
                  <a:lnTo>
                    <a:pt x="80" y="106"/>
                  </a:lnTo>
                  <a:lnTo>
                    <a:pt x="944" y="106"/>
                  </a:lnTo>
                  <a:lnTo>
                    <a:pt x="954" y="112"/>
                  </a:lnTo>
                  <a:lnTo>
                    <a:pt x="968" y="124"/>
                  </a:lnTo>
                  <a:lnTo>
                    <a:pt x="968" y="140"/>
                  </a:lnTo>
                  <a:lnTo>
                    <a:pt x="952" y="164"/>
                  </a:lnTo>
                  <a:lnTo>
                    <a:pt x="0" y="164"/>
                  </a:lnTo>
                </a:path>
              </a:pathLst>
            </a:custGeom>
            <a:noFill/>
            <a:ln w="28575" cap="flat" cmpd="sng">
              <a:solidFill>
                <a:srgbClr val="FF0000"/>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31" name="直接连接符 130"/>
            <xdr:cNvSpPr/>
          </xdr:nvSpPr>
          <xdr:spPr>
            <a:xfrm>
              <a:off x="2012" y="3856"/>
              <a:ext cx="214" cy="0"/>
            </a:xfrm>
            <a:prstGeom prst="line">
              <a:avLst/>
            </a:prstGeom>
            <a:ln w="28575" cap="flat" cmpd="sng">
              <a:solidFill>
                <a:schemeClr val="tx2"/>
              </a:solidFill>
              <a:prstDash val="solid"/>
              <a:headEnd type="none" w="sm" len="lg"/>
              <a:tailEnd type="triangle" w="med" len="med"/>
            </a:ln>
          </xdr:spPr>
        </xdr:sp>
        <xdr:sp macro="" textlink="">
          <xdr:nvSpPr>
            <xdr:cNvPr id="132" name="直接连接符 131"/>
            <xdr:cNvSpPr/>
          </xdr:nvSpPr>
          <xdr:spPr>
            <a:xfrm flipH="1">
              <a:off x="2028" y="4020"/>
              <a:ext cx="214" cy="0"/>
            </a:xfrm>
            <a:prstGeom prst="line">
              <a:avLst/>
            </a:prstGeom>
            <a:ln w="28575" cap="flat" cmpd="sng">
              <a:solidFill>
                <a:schemeClr val="tx2"/>
              </a:solidFill>
              <a:prstDash val="solid"/>
              <a:headEnd type="none" w="sm" len="lg"/>
              <a:tailEnd type="triangle" w="med" len="med"/>
            </a:ln>
          </xdr:spPr>
        </xdr:sp>
      </xdr:grpSp>
      <xdr:sp macro="" textlink="">
        <xdr:nvSpPr>
          <xdr:cNvPr id="129" name="矩形 128"/>
          <xdr:cNvSpPr/>
        </xdr:nvSpPr>
        <xdr:spPr>
          <a:xfrm>
            <a:off x="1888" y="3570"/>
            <a:ext cx="428" cy="569"/>
          </a:xfrm>
          <a:prstGeom prst="rect">
            <a:avLst/>
          </a:prstGeom>
          <a:noFill/>
          <a:ln w="28575">
            <a:noFill/>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200" b="1">
                <a:solidFill>
                  <a:schemeClr val="tx2"/>
                </a:solidFill>
                <a:latin typeface="华文中宋" pitchFamily="2" charset="-122"/>
                <a:ea typeface="华文中宋" pitchFamily="2" charset="-122"/>
              </a:rPr>
              <a:t>冷却水</a:t>
            </a:r>
          </a:p>
        </xdr:txBody>
      </xdr:sp>
    </xdr:grpSp>
    <xdr:clientData/>
  </xdr:twoCellAnchor>
  <xdr:twoCellAnchor>
    <xdr:from>
      <xdr:col>1</xdr:col>
      <xdr:colOff>942975</xdr:colOff>
      <xdr:row>81</xdr:row>
      <xdr:rowOff>66675</xdr:rowOff>
    </xdr:from>
    <xdr:to>
      <xdr:col>2</xdr:col>
      <xdr:colOff>990599</xdr:colOff>
      <xdr:row>88</xdr:row>
      <xdr:rowOff>142873</xdr:rowOff>
    </xdr:to>
    <xdr:grpSp>
      <xdr:nvGrpSpPr>
        <xdr:cNvPr id="133" name="组合 132"/>
        <xdr:cNvGrpSpPr/>
      </xdr:nvGrpSpPr>
      <xdr:grpSpPr>
        <a:xfrm>
          <a:off x="2133600" y="17106900"/>
          <a:ext cx="1257299" cy="1543048"/>
          <a:chOff x="848" y="2660"/>
          <a:chExt cx="1245" cy="1526"/>
        </a:xfrm>
      </xdr:grpSpPr>
      <xdr:grpSp>
        <xdr:nvGrpSpPr>
          <xdr:cNvPr id="134" name="组合 48"/>
          <xdr:cNvGrpSpPr/>
        </xdr:nvGrpSpPr>
        <xdr:grpSpPr>
          <a:xfrm>
            <a:off x="848" y="2660"/>
            <a:ext cx="1245" cy="1189"/>
            <a:chOff x="848" y="2744"/>
            <a:chExt cx="1245" cy="1189"/>
          </a:xfrm>
        </xdr:grpSpPr>
        <xdr:sp macro="" textlink="">
          <xdr:nvSpPr>
            <xdr:cNvPr id="158" name="直接连接符 157"/>
            <xdr:cNvSpPr/>
          </xdr:nvSpPr>
          <xdr:spPr>
            <a:xfrm>
              <a:off x="848" y="3803"/>
              <a:ext cx="1245" cy="0"/>
            </a:xfrm>
            <a:prstGeom prst="line">
              <a:avLst/>
            </a:prstGeom>
            <a:ln w="38100" cap="flat" cmpd="sng">
              <a:solidFill>
                <a:schemeClr val="tx2"/>
              </a:solidFill>
              <a:prstDash val="solid"/>
              <a:headEnd type="none" w="med" len="med"/>
              <a:tailEnd type="none" w="med" len="med"/>
            </a:ln>
          </xdr:spPr>
        </xdr:sp>
        <xdr:sp macro="" textlink="">
          <xdr:nvSpPr>
            <xdr:cNvPr id="159" name="椭圆 158"/>
            <xdr:cNvSpPr/>
          </xdr:nvSpPr>
          <xdr:spPr>
            <a:xfrm>
              <a:off x="1062" y="2844"/>
              <a:ext cx="813" cy="797"/>
            </a:xfrm>
            <a:prstGeom prst="ellipse">
              <a:avLst/>
            </a:prstGeom>
            <a:noFill/>
            <a:ln w="28575"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60" name="直接连接符 159"/>
            <xdr:cNvSpPr/>
          </xdr:nvSpPr>
          <xdr:spPr>
            <a:xfrm>
              <a:off x="968" y="3233"/>
              <a:ext cx="1021" cy="0"/>
            </a:xfrm>
            <a:prstGeom prst="line">
              <a:avLst/>
            </a:prstGeom>
            <a:ln w="19050" cap="flat" cmpd="sng">
              <a:solidFill>
                <a:schemeClr val="tx2"/>
              </a:solidFill>
              <a:prstDash val="lgDashDot"/>
              <a:headEnd type="none" w="med" len="med"/>
              <a:tailEnd type="none" w="med" len="med"/>
            </a:ln>
          </xdr:spPr>
        </xdr:sp>
        <xdr:sp macro="" textlink="">
          <xdr:nvSpPr>
            <xdr:cNvPr id="161" name="直接连接符 160"/>
            <xdr:cNvSpPr/>
          </xdr:nvSpPr>
          <xdr:spPr>
            <a:xfrm>
              <a:off x="1465" y="2744"/>
              <a:ext cx="0" cy="971"/>
            </a:xfrm>
            <a:prstGeom prst="line">
              <a:avLst/>
            </a:prstGeom>
            <a:ln w="19050" cap="flat" cmpd="sng">
              <a:solidFill>
                <a:schemeClr val="tx2"/>
              </a:solidFill>
              <a:prstDash val="lgDashDot"/>
              <a:headEnd type="none" w="med" len="med"/>
              <a:tailEnd type="none" w="med" len="med"/>
            </a:ln>
          </xdr:spPr>
        </xdr:sp>
        <xdr:sp macro="" textlink="">
          <xdr:nvSpPr>
            <xdr:cNvPr id="162" name="矩形 161"/>
            <xdr:cNvSpPr/>
          </xdr:nvSpPr>
          <xdr:spPr bwMode="white">
            <a:xfrm>
              <a:off x="1073" y="3654"/>
              <a:ext cx="753" cy="279"/>
            </a:xfrm>
            <a:prstGeom prst="rect">
              <a:avLst/>
            </a:prstGeom>
            <a:noFill/>
            <a:ln w="28575" cap="flat" cmpd="sng">
              <a:solidFill>
                <a:schemeClr val="tx2"/>
              </a:solidFill>
              <a:prstDash val="solid"/>
              <a:miter/>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63" name="椭圆 162"/>
            <xdr:cNvSpPr/>
          </xdr:nvSpPr>
          <xdr:spPr>
            <a:xfrm>
              <a:off x="1427" y="3634"/>
              <a:ext cx="46" cy="43"/>
            </a:xfrm>
            <a:prstGeom prst="ellipse">
              <a:avLst/>
            </a:prstGeom>
            <a:solidFill>
              <a:srgbClr val="333399"/>
            </a:solidFill>
            <a:ln w="19050"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64" name="椭圆 163"/>
            <xdr:cNvSpPr/>
          </xdr:nvSpPr>
          <xdr:spPr>
            <a:xfrm>
              <a:off x="1439" y="3210"/>
              <a:ext cx="47" cy="43"/>
            </a:xfrm>
            <a:prstGeom prst="ellipse">
              <a:avLst/>
            </a:prstGeom>
            <a:solidFill>
              <a:srgbClr val="333399"/>
            </a:solidFill>
            <a:ln w="19050"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grpSp>
        <xdr:nvGrpSpPr>
          <xdr:cNvPr id="135" name="组合 49"/>
          <xdr:cNvGrpSpPr/>
        </xdr:nvGrpSpPr>
        <xdr:grpSpPr>
          <a:xfrm>
            <a:off x="906" y="2699"/>
            <a:ext cx="1128" cy="1487"/>
            <a:chOff x="906" y="2783"/>
            <a:chExt cx="1128" cy="1487"/>
          </a:xfrm>
        </xdr:grpSpPr>
        <xdr:grpSp>
          <xdr:nvGrpSpPr>
            <xdr:cNvPr id="142" name="组合 56"/>
            <xdr:cNvGrpSpPr/>
          </xdr:nvGrpSpPr>
          <xdr:grpSpPr>
            <a:xfrm>
              <a:off x="930" y="2783"/>
              <a:ext cx="1074" cy="446"/>
              <a:chOff x="930" y="2783"/>
              <a:chExt cx="1074" cy="446"/>
            </a:xfrm>
          </xdr:grpSpPr>
          <xdr:grpSp>
            <xdr:nvGrpSpPr>
              <xdr:cNvPr id="153" name="组合 67"/>
              <xdr:cNvGrpSpPr/>
            </xdr:nvGrpSpPr>
            <xdr:grpSpPr>
              <a:xfrm>
                <a:off x="992" y="2783"/>
                <a:ext cx="953" cy="446"/>
                <a:chOff x="968" y="2783"/>
                <a:chExt cx="987" cy="446"/>
              </a:xfrm>
            </xdr:grpSpPr>
            <xdr:sp macro="" textlink="">
              <xdr:nvSpPr>
                <xdr:cNvPr id="156" name="任意多边形 155"/>
                <xdr:cNvSpPr/>
              </xdr:nvSpPr>
              <xdr:spPr>
                <a:xfrm>
                  <a:off x="1462" y="2783"/>
                  <a:ext cx="493" cy="446"/>
                </a:xfrm>
                <a:custGeom>
                  <a:avLst/>
                  <a:gdLst>
                    <a:gd name="txL" fmla="*/ 0 w 21574"/>
                    <a:gd name="txT" fmla="*/ 0 h 21600"/>
                    <a:gd name="txR" fmla="*/ 21574 w 21574"/>
                    <a:gd name="txB" fmla="*/ 21600 h 21600"/>
                  </a:gdLst>
                  <a:ahLst/>
                  <a:cxnLst>
                    <a:cxn ang="270">
                      <a:pos x="0" y="0"/>
                    </a:cxn>
                    <a:cxn ang="0">
                      <a:pos x="21573" y="20536"/>
                    </a:cxn>
                    <a:cxn ang="90">
                      <a:pos x="0" y="21600"/>
                    </a:cxn>
                  </a:cxnLst>
                  <a:rect l="txL" t="txT" r="txR" b="txB"/>
                  <a:pathLst>
                    <a:path w="21574" h="21600" fill="none">
                      <a:moveTo>
                        <a:pt x="0" y="0"/>
                      </a:moveTo>
                      <a:arcTo wR="21600" hR="21600" stAng="-5400000" swAng="5230584"/>
                    </a:path>
                    <a:path w="21574" h="21600" stroke="0">
                      <a:moveTo>
                        <a:pt x="0" y="0"/>
                      </a:moveTo>
                      <a:arcTo wR="21600" hR="21600" stAng="-5400000" swAng="5230584"/>
                      <a:lnTo>
                        <a:pt x="0" y="21600"/>
                      </a:lnTo>
                      <a:close/>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57" name="任意多边形 156"/>
                <xdr:cNvSpPr/>
              </xdr:nvSpPr>
              <xdr:spPr>
                <a:xfrm flipH="1">
                  <a:off x="968" y="2783"/>
                  <a:ext cx="493" cy="446"/>
                </a:xfrm>
                <a:custGeom>
                  <a:avLst/>
                  <a:gdLst>
                    <a:gd name="txL" fmla="*/ 0 w 21574"/>
                    <a:gd name="txT" fmla="*/ 0 h 21600"/>
                    <a:gd name="txR" fmla="*/ 21574 w 21574"/>
                    <a:gd name="txB" fmla="*/ 21600 h 21600"/>
                  </a:gdLst>
                  <a:ahLst/>
                  <a:cxnLst>
                    <a:cxn ang="270">
                      <a:pos x="0" y="0"/>
                    </a:cxn>
                    <a:cxn ang="0">
                      <a:pos x="21573" y="20536"/>
                    </a:cxn>
                    <a:cxn ang="90">
                      <a:pos x="0" y="21600"/>
                    </a:cxn>
                  </a:cxnLst>
                  <a:rect l="txL" t="txT" r="txR" b="txB"/>
                  <a:pathLst>
                    <a:path w="21574" h="21600" fill="none">
                      <a:moveTo>
                        <a:pt x="0" y="0"/>
                      </a:moveTo>
                      <a:arcTo wR="21600" hR="21600" stAng="-5400000" swAng="5230584"/>
                    </a:path>
                    <a:path w="21574" h="21600" stroke="0">
                      <a:moveTo>
                        <a:pt x="0" y="0"/>
                      </a:moveTo>
                      <a:arcTo wR="21600" hR="21600" stAng="-5400000" swAng="5230584"/>
                      <a:lnTo>
                        <a:pt x="0" y="21600"/>
                      </a:lnTo>
                      <a:close/>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sp macro="" textlink="">
            <xdr:nvSpPr>
              <xdr:cNvPr id="154" name="直接连接符 153"/>
              <xdr:cNvSpPr/>
            </xdr:nvSpPr>
            <xdr:spPr>
              <a:xfrm flipH="1">
                <a:off x="930" y="3200"/>
                <a:ext cx="70" cy="0"/>
              </a:xfrm>
              <a:prstGeom prst="line">
                <a:avLst/>
              </a:prstGeom>
              <a:ln w="28575" cap="flat" cmpd="sng">
                <a:solidFill>
                  <a:schemeClr val="tx2"/>
                </a:solidFill>
                <a:prstDash val="solid"/>
                <a:headEnd type="none" w="sm" len="lg"/>
                <a:tailEnd type="none" w="sm" len="lg"/>
              </a:ln>
            </xdr:spPr>
          </xdr:sp>
          <xdr:sp macro="" textlink="">
            <xdr:nvSpPr>
              <xdr:cNvPr id="155" name="直接连接符 154"/>
              <xdr:cNvSpPr/>
            </xdr:nvSpPr>
            <xdr:spPr>
              <a:xfrm flipH="1">
                <a:off x="1934" y="3204"/>
                <a:ext cx="70" cy="0"/>
              </a:xfrm>
              <a:prstGeom prst="line">
                <a:avLst/>
              </a:prstGeom>
              <a:ln w="28575" cap="flat" cmpd="sng">
                <a:solidFill>
                  <a:schemeClr val="tx2"/>
                </a:solidFill>
                <a:prstDash val="solid"/>
                <a:headEnd type="none" w="sm" len="lg"/>
                <a:tailEnd type="none" w="sm" len="lg"/>
              </a:ln>
            </xdr:spPr>
          </xdr:sp>
        </xdr:grpSp>
        <xdr:grpSp>
          <xdr:nvGrpSpPr>
            <xdr:cNvPr id="143" name="组合 57"/>
            <xdr:cNvGrpSpPr/>
          </xdr:nvGrpSpPr>
          <xdr:grpSpPr>
            <a:xfrm>
              <a:off x="930" y="3254"/>
              <a:ext cx="74" cy="516"/>
              <a:chOff x="930" y="3254"/>
              <a:chExt cx="74" cy="516"/>
            </a:xfrm>
          </xdr:grpSpPr>
          <xdr:sp macro="" textlink="">
            <xdr:nvSpPr>
              <xdr:cNvPr id="150" name="直接连接符 149"/>
              <xdr:cNvSpPr/>
            </xdr:nvSpPr>
            <xdr:spPr>
              <a:xfrm flipH="1">
                <a:off x="934" y="3254"/>
                <a:ext cx="70" cy="0"/>
              </a:xfrm>
              <a:prstGeom prst="line">
                <a:avLst/>
              </a:prstGeom>
              <a:ln w="28575" cap="flat" cmpd="sng">
                <a:solidFill>
                  <a:schemeClr val="tx2"/>
                </a:solidFill>
                <a:prstDash val="solid"/>
                <a:headEnd type="none" w="sm" len="lg"/>
                <a:tailEnd type="none" w="sm" len="lg"/>
              </a:ln>
            </xdr:spPr>
          </xdr:sp>
          <xdr:sp macro="" textlink="">
            <xdr:nvSpPr>
              <xdr:cNvPr id="151" name="直接连接符 150"/>
              <xdr:cNvSpPr/>
            </xdr:nvSpPr>
            <xdr:spPr>
              <a:xfrm>
                <a:off x="966" y="3256"/>
                <a:ext cx="0" cy="514"/>
              </a:xfrm>
              <a:prstGeom prst="line">
                <a:avLst/>
              </a:prstGeom>
              <a:ln w="28575" cap="flat" cmpd="sng">
                <a:solidFill>
                  <a:schemeClr val="tx2"/>
                </a:solidFill>
                <a:prstDash val="solid"/>
                <a:headEnd type="none" w="sm" len="lg"/>
                <a:tailEnd type="none" w="sm" len="lg"/>
              </a:ln>
            </xdr:spPr>
          </xdr:sp>
          <xdr:sp macro="" textlink="">
            <xdr:nvSpPr>
              <xdr:cNvPr id="152" name="直接连接符 151"/>
              <xdr:cNvSpPr/>
            </xdr:nvSpPr>
            <xdr:spPr>
              <a:xfrm>
                <a:off x="930" y="3764"/>
                <a:ext cx="68" cy="0"/>
              </a:xfrm>
              <a:prstGeom prst="line">
                <a:avLst/>
              </a:prstGeom>
              <a:ln w="28575" cap="flat" cmpd="sng">
                <a:solidFill>
                  <a:schemeClr val="tx2"/>
                </a:solidFill>
                <a:prstDash val="solid"/>
                <a:headEnd type="none" w="sm" len="lg"/>
                <a:tailEnd type="none" w="sm" len="lg"/>
              </a:ln>
            </xdr:spPr>
          </xdr:sp>
        </xdr:grpSp>
        <xdr:grpSp>
          <xdr:nvGrpSpPr>
            <xdr:cNvPr id="144" name="组合 58"/>
            <xdr:cNvGrpSpPr/>
          </xdr:nvGrpSpPr>
          <xdr:grpSpPr>
            <a:xfrm>
              <a:off x="1932" y="3258"/>
              <a:ext cx="74" cy="516"/>
              <a:chOff x="930" y="3254"/>
              <a:chExt cx="74" cy="516"/>
            </a:xfrm>
          </xdr:grpSpPr>
          <xdr:sp macro="" textlink="">
            <xdr:nvSpPr>
              <xdr:cNvPr id="147" name="直接连接符 146"/>
              <xdr:cNvSpPr/>
            </xdr:nvSpPr>
            <xdr:spPr>
              <a:xfrm flipH="1">
                <a:off x="934" y="3254"/>
                <a:ext cx="70" cy="0"/>
              </a:xfrm>
              <a:prstGeom prst="line">
                <a:avLst/>
              </a:prstGeom>
              <a:ln w="28575" cap="flat" cmpd="sng">
                <a:solidFill>
                  <a:schemeClr val="tx2"/>
                </a:solidFill>
                <a:prstDash val="solid"/>
                <a:headEnd type="none" w="sm" len="lg"/>
                <a:tailEnd type="none" w="sm" len="lg"/>
              </a:ln>
            </xdr:spPr>
          </xdr:sp>
          <xdr:sp macro="" textlink="">
            <xdr:nvSpPr>
              <xdr:cNvPr id="148" name="直接连接符 147"/>
              <xdr:cNvSpPr/>
            </xdr:nvSpPr>
            <xdr:spPr>
              <a:xfrm>
                <a:off x="966" y="3256"/>
                <a:ext cx="0" cy="514"/>
              </a:xfrm>
              <a:prstGeom prst="line">
                <a:avLst/>
              </a:prstGeom>
              <a:ln w="28575" cap="flat" cmpd="sng">
                <a:solidFill>
                  <a:schemeClr val="tx2"/>
                </a:solidFill>
                <a:prstDash val="solid"/>
                <a:headEnd type="none" w="sm" len="lg"/>
                <a:tailEnd type="none" w="sm" len="lg"/>
              </a:ln>
            </xdr:spPr>
          </xdr:sp>
          <xdr:sp macro="" textlink="">
            <xdr:nvSpPr>
              <xdr:cNvPr id="149" name="直接连接符 148"/>
              <xdr:cNvSpPr/>
            </xdr:nvSpPr>
            <xdr:spPr>
              <a:xfrm>
                <a:off x="930" y="3764"/>
                <a:ext cx="68" cy="0"/>
              </a:xfrm>
              <a:prstGeom prst="line">
                <a:avLst/>
              </a:prstGeom>
              <a:ln w="28575" cap="flat" cmpd="sng">
                <a:solidFill>
                  <a:schemeClr val="tx2"/>
                </a:solidFill>
                <a:prstDash val="solid"/>
                <a:headEnd type="none" w="sm" len="lg"/>
                <a:tailEnd type="none" w="sm" len="lg"/>
              </a:ln>
            </xdr:spPr>
          </xdr:sp>
        </xdr:grpSp>
        <xdr:sp macro="" textlink="">
          <xdr:nvSpPr>
            <xdr:cNvPr id="145" name="任意多边形 144"/>
            <xdr:cNvSpPr/>
          </xdr:nvSpPr>
          <xdr:spPr>
            <a:xfrm>
              <a:off x="906" y="3838"/>
              <a:ext cx="546" cy="432"/>
            </a:xfrm>
            <a:custGeom>
              <a:avLst/>
              <a:gdLst/>
              <a:ahLst/>
              <a:cxnLst/>
              <a:rect l="0" t="0" r="0" b="0"/>
              <a:pathLst>
                <a:path w="546" h="432">
                  <a:moveTo>
                    <a:pt x="26" y="0"/>
                  </a:moveTo>
                  <a:lnTo>
                    <a:pt x="88" y="0"/>
                  </a:lnTo>
                  <a:lnTo>
                    <a:pt x="56" y="0"/>
                  </a:lnTo>
                  <a:lnTo>
                    <a:pt x="56" y="350"/>
                  </a:lnTo>
                  <a:lnTo>
                    <a:pt x="50" y="386"/>
                  </a:lnTo>
                  <a:lnTo>
                    <a:pt x="36" y="404"/>
                  </a:lnTo>
                  <a:lnTo>
                    <a:pt x="0" y="432"/>
                  </a:lnTo>
                  <a:lnTo>
                    <a:pt x="26" y="412"/>
                  </a:lnTo>
                  <a:lnTo>
                    <a:pt x="46" y="392"/>
                  </a:lnTo>
                  <a:lnTo>
                    <a:pt x="56" y="362"/>
                  </a:lnTo>
                  <a:lnTo>
                    <a:pt x="546" y="362"/>
                  </a:lnTo>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46" name="任意多边形 145"/>
            <xdr:cNvSpPr/>
          </xdr:nvSpPr>
          <xdr:spPr>
            <a:xfrm flipH="1">
              <a:off x="1444" y="3838"/>
              <a:ext cx="590" cy="432"/>
            </a:xfrm>
            <a:custGeom>
              <a:avLst/>
              <a:gdLst/>
              <a:ahLst/>
              <a:cxnLst/>
              <a:rect l="0" t="0" r="0" b="0"/>
              <a:pathLst>
                <a:path w="546" h="432">
                  <a:moveTo>
                    <a:pt x="26" y="0"/>
                  </a:moveTo>
                  <a:lnTo>
                    <a:pt x="88" y="0"/>
                  </a:lnTo>
                  <a:lnTo>
                    <a:pt x="56" y="0"/>
                  </a:lnTo>
                  <a:lnTo>
                    <a:pt x="56" y="350"/>
                  </a:lnTo>
                  <a:lnTo>
                    <a:pt x="50" y="386"/>
                  </a:lnTo>
                  <a:lnTo>
                    <a:pt x="36" y="404"/>
                  </a:lnTo>
                  <a:lnTo>
                    <a:pt x="0" y="432"/>
                  </a:lnTo>
                  <a:lnTo>
                    <a:pt x="26" y="412"/>
                  </a:lnTo>
                  <a:lnTo>
                    <a:pt x="46" y="392"/>
                  </a:lnTo>
                  <a:lnTo>
                    <a:pt x="56" y="362"/>
                  </a:lnTo>
                  <a:lnTo>
                    <a:pt x="546" y="362"/>
                  </a:lnTo>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sp macro="" textlink="">
        <xdr:nvSpPr>
          <xdr:cNvPr id="136" name="直接连接符 135"/>
          <xdr:cNvSpPr/>
        </xdr:nvSpPr>
        <xdr:spPr>
          <a:xfrm>
            <a:off x="1020" y="3822"/>
            <a:ext cx="904" cy="0"/>
          </a:xfrm>
          <a:prstGeom prst="line">
            <a:avLst/>
          </a:prstGeom>
          <a:ln w="12700" cap="flat" cmpd="sng">
            <a:solidFill>
              <a:schemeClr val="tx2"/>
            </a:solidFill>
            <a:prstDash val="lgDash"/>
            <a:headEnd type="none" w="sm" len="lg"/>
            <a:tailEnd type="none" w="sm" len="lg"/>
          </a:ln>
        </xdr:spPr>
      </xdr:sp>
      <xdr:sp macro="" textlink="">
        <xdr:nvSpPr>
          <xdr:cNvPr id="137" name="直接连接符 136"/>
          <xdr:cNvSpPr/>
        </xdr:nvSpPr>
        <xdr:spPr>
          <a:xfrm>
            <a:off x="984" y="3870"/>
            <a:ext cx="904" cy="0"/>
          </a:xfrm>
          <a:prstGeom prst="line">
            <a:avLst/>
          </a:prstGeom>
          <a:ln w="12700" cap="flat" cmpd="sng">
            <a:solidFill>
              <a:schemeClr val="tx2"/>
            </a:solidFill>
            <a:prstDash val="lgDash"/>
            <a:headEnd type="none" w="sm" len="lg"/>
            <a:tailEnd type="none" w="sm" len="lg"/>
          </a:ln>
        </xdr:spPr>
      </xdr:sp>
      <xdr:sp macro="" textlink="">
        <xdr:nvSpPr>
          <xdr:cNvPr id="138" name="直接连接符 137"/>
          <xdr:cNvSpPr/>
        </xdr:nvSpPr>
        <xdr:spPr>
          <a:xfrm>
            <a:off x="1040" y="3914"/>
            <a:ext cx="904" cy="0"/>
          </a:xfrm>
          <a:prstGeom prst="line">
            <a:avLst/>
          </a:prstGeom>
          <a:ln w="12700" cap="flat" cmpd="sng">
            <a:solidFill>
              <a:schemeClr val="tx2"/>
            </a:solidFill>
            <a:prstDash val="lgDash"/>
            <a:headEnd type="none" w="sm" len="lg"/>
            <a:tailEnd type="none" w="sm" len="lg"/>
          </a:ln>
        </xdr:spPr>
      </xdr:sp>
      <xdr:sp macro="" textlink="">
        <xdr:nvSpPr>
          <xdr:cNvPr id="139" name="直接连接符 138"/>
          <xdr:cNvSpPr/>
        </xdr:nvSpPr>
        <xdr:spPr>
          <a:xfrm>
            <a:off x="986" y="3964"/>
            <a:ext cx="904" cy="0"/>
          </a:xfrm>
          <a:prstGeom prst="line">
            <a:avLst/>
          </a:prstGeom>
          <a:ln w="12700" cap="flat" cmpd="sng">
            <a:solidFill>
              <a:schemeClr val="tx2"/>
            </a:solidFill>
            <a:prstDash val="lgDash"/>
            <a:headEnd type="none" w="sm" len="lg"/>
            <a:tailEnd type="none" w="sm" len="lg"/>
          </a:ln>
        </xdr:spPr>
      </xdr:sp>
      <xdr:sp macro="" textlink="">
        <xdr:nvSpPr>
          <xdr:cNvPr id="140" name="直接连接符 139"/>
          <xdr:cNvSpPr/>
        </xdr:nvSpPr>
        <xdr:spPr>
          <a:xfrm>
            <a:off x="1036" y="4014"/>
            <a:ext cx="904" cy="0"/>
          </a:xfrm>
          <a:prstGeom prst="line">
            <a:avLst/>
          </a:prstGeom>
          <a:ln w="12700" cap="flat" cmpd="sng">
            <a:solidFill>
              <a:schemeClr val="tx2"/>
            </a:solidFill>
            <a:prstDash val="lgDash"/>
            <a:headEnd type="none" w="sm" len="lg"/>
            <a:tailEnd type="none" w="sm" len="lg"/>
          </a:ln>
        </xdr:spPr>
      </xdr:sp>
      <xdr:sp macro="" textlink="">
        <xdr:nvSpPr>
          <xdr:cNvPr id="141" name="直接连接符 140"/>
          <xdr:cNvSpPr/>
        </xdr:nvSpPr>
        <xdr:spPr>
          <a:xfrm>
            <a:off x="996" y="4070"/>
            <a:ext cx="904" cy="0"/>
          </a:xfrm>
          <a:prstGeom prst="line">
            <a:avLst/>
          </a:prstGeom>
          <a:ln w="12700" cap="flat" cmpd="sng">
            <a:solidFill>
              <a:schemeClr val="tx2"/>
            </a:solidFill>
            <a:prstDash val="lgDash"/>
            <a:headEnd type="none" w="sm" len="lg"/>
            <a:tailEnd type="none" w="sm" len="lg"/>
          </a:ln>
        </xdr:spPr>
      </xdr:sp>
    </xdr:grpSp>
    <xdr:clientData/>
  </xdr:twoCellAnchor>
  <xdr:twoCellAnchor>
    <xdr:from>
      <xdr:col>2</xdr:col>
      <xdr:colOff>1095375</xdr:colOff>
      <xdr:row>82</xdr:row>
      <xdr:rowOff>76200</xdr:rowOff>
    </xdr:from>
    <xdr:to>
      <xdr:col>3</xdr:col>
      <xdr:colOff>1019175</xdr:colOff>
      <xdr:row>88</xdr:row>
      <xdr:rowOff>161925</xdr:rowOff>
    </xdr:to>
    <xdr:grpSp>
      <xdr:nvGrpSpPr>
        <xdr:cNvPr id="165" name="组合 164"/>
        <xdr:cNvGrpSpPr/>
      </xdr:nvGrpSpPr>
      <xdr:grpSpPr>
        <a:xfrm>
          <a:off x="3495675" y="17325975"/>
          <a:ext cx="1114425" cy="1343025"/>
          <a:chOff x="3776" y="2566"/>
          <a:chExt cx="1245" cy="1620"/>
        </a:xfrm>
      </xdr:grpSpPr>
      <xdr:grpSp>
        <xdr:nvGrpSpPr>
          <xdr:cNvPr id="166" name="组合 165"/>
          <xdr:cNvGrpSpPr/>
        </xdr:nvGrpSpPr>
        <xdr:grpSpPr>
          <a:xfrm flipV="1">
            <a:off x="3776" y="2720"/>
            <a:ext cx="1245" cy="1189"/>
            <a:chOff x="848" y="2744"/>
            <a:chExt cx="1245" cy="1189"/>
          </a:xfrm>
        </xdr:grpSpPr>
        <xdr:sp macro="" textlink="">
          <xdr:nvSpPr>
            <xdr:cNvPr id="192" name="直接连接符 191"/>
            <xdr:cNvSpPr/>
          </xdr:nvSpPr>
          <xdr:spPr>
            <a:xfrm>
              <a:off x="848" y="3803"/>
              <a:ext cx="1245" cy="0"/>
            </a:xfrm>
            <a:prstGeom prst="line">
              <a:avLst/>
            </a:prstGeom>
            <a:ln w="38100" cap="flat" cmpd="sng">
              <a:solidFill>
                <a:schemeClr val="tx2"/>
              </a:solidFill>
              <a:prstDash val="solid"/>
              <a:headEnd type="none" w="med" len="med"/>
              <a:tailEnd type="none" w="med" len="med"/>
            </a:ln>
          </xdr:spPr>
        </xdr:sp>
        <xdr:sp macro="" textlink="">
          <xdr:nvSpPr>
            <xdr:cNvPr id="193" name="椭圆 192"/>
            <xdr:cNvSpPr/>
          </xdr:nvSpPr>
          <xdr:spPr>
            <a:xfrm>
              <a:off x="1062" y="2844"/>
              <a:ext cx="813" cy="797"/>
            </a:xfrm>
            <a:prstGeom prst="ellipse">
              <a:avLst/>
            </a:prstGeom>
            <a:noFill/>
            <a:ln w="28575"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94" name="直接连接符 193"/>
            <xdr:cNvSpPr/>
          </xdr:nvSpPr>
          <xdr:spPr>
            <a:xfrm>
              <a:off x="968" y="3233"/>
              <a:ext cx="1021" cy="0"/>
            </a:xfrm>
            <a:prstGeom prst="line">
              <a:avLst/>
            </a:prstGeom>
            <a:ln w="19050" cap="flat" cmpd="sng">
              <a:solidFill>
                <a:schemeClr val="tx2"/>
              </a:solidFill>
              <a:prstDash val="lgDashDot"/>
              <a:headEnd type="none" w="med" len="med"/>
              <a:tailEnd type="none" w="med" len="med"/>
            </a:ln>
          </xdr:spPr>
        </xdr:sp>
        <xdr:sp macro="" textlink="">
          <xdr:nvSpPr>
            <xdr:cNvPr id="195" name="直接连接符 194"/>
            <xdr:cNvSpPr/>
          </xdr:nvSpPr>
          <xdr:spPr>
            <a:xfrm>
              <a:off x="1465" y="2744"/>
              <a:ext cx="0" cy="971"/>
            </a:xfrm>
            <a:prstGeom prst="line">
              <a:avLst/>
            </a:prstGeom>
            <a:ln w="19050" cap="flat" cmpd="sng">
              <a:solidFill>
                <a:schemeClr val="tx2"/>
              </a:solidFill>
              <a:prstDash val="lgDashDot"/>
              <a:headEnd type="none" w="med" len="med"/>
              <a:tailEnd type="none" w="med" len="med"/>
            </a:ln>
          </xdr:spPr>
        </xdr:sp>
        <xdr:sp macro="" textlink="">
          <xdr:nvSpPr>
            <xdr:cNvPr id="196" name="矩形 195"/>
            <xdr:cNvSpPr/>
          </xdr:nvSpPr>
          <xdr:spPr bwMode="white">
            <a:xfrm>
              <a:off x="1073" y="3654"/>
              <a:ext cx="753" cy="279"/>
            </a:xfrm>
            <a:prstGeom prst="rect">
              <a:avLst/>
            </a:prstGeom>
            <a:noFill/>
            <a:ln w="28575" cap="flat" cmpd="sng">
              <a:solidFill>
                <a:schemeClr val="tx2"/>
              </a:solidFill>
              <a:prstDash val="solid"/>
              <a:miter/>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97" name="椭圆 196"/>
            <xdr:cNvSpPr/>
          </xdr:nvSpPr>
          <xdr:spPr>
            <a:xfrm>
              <a:off x="1427" y="3634"/>
              <a:ext cx="46" cy="43"/>
            </a:xfrm>
            <a:prstGeom prst="ellipse">
              <a:avLst/>
            </a:prstGeom>
            <a:solidFill>
              <a:srgbClr val="333399"/>
            </a:solidFill>
            <a:ln w="19050"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198" name="椭圆 197"/>
            <xdr:cNvSpPr/>
          </xdr:nvSpPr>
          <xdr:spPr>
            <a:xfrm>
              <a:off x="1439" y="3210"/>
              <a:ext cx="47" cy="43"/>
            </a:xfrm>
            <a:prstGeom prst="ellipse">
              <a:avLst/>
            </a:prstGeom>
            <a:solidFill>
              <a:srgbClr val="333399"/>
            </a:solidFill>
            <a:ln w="19050" cap="flat" cmpd="sng">
              <a:solidFill>
                <a:schemeClr val="tx2"/>
              </a:solidFill>
              <a:prstDash val="solid"/>
              <a:headEnd type="none" w="med" len="med"/>
              <a:tailEnd type="none" w="med" len="med"/>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grpSp>
        <xdr:nvGrpSpPr>
          <xdr:cNvPr id="167" name="组合 166"/>
          <xdr:cNvGrpSpPr/>
        </xdr:nvGrpSpPr>
        <xdr:grpSpPr>
          <a:xfrm>
            <a:off x="3912" y="3870"/>
            <a:ext cx="960" cy="200"/>
            <a:chOff x="3912" y="3870"/>
            <a:chExt cx="960" cy="200"/>
          </a:xfrm>
        </xdr:grpSpPr>
        <xdr:sp macro="" textlink="">
          <xdr:nvSpPr>
            <xdr:cNvPr id="187" name="直接连接符 186"/>
            <xdr:cNvSpPr/>
          </xdr:nvSpPr>
          <xdr:spPr>
            <a:xfrm>
              <a:off x="3912" y="3870"/>
              <a:ext cx="904" cy="0"/>
            </a:xfrm>
            <a:prstGeom prst="line">
              <a:avLst/>
            </a:prstGeom>
            <a:ln w="12700" cap="flat" cmpd="sng">
              <a:solidFill>
                <a:schemeClr val="tx2"/>
              </a:solidFill>
              <a:prstDash val="lgDash"/>
              <a:headEnd type="none" w="sm" len="lg"/>
              <a:tailEnd type="none" w="sm" len="lg"/>
            </a:ln>
          </xdr:spPr>
        </xdr:sp>
        <xdr:sp macro="" textlink="">
          <xdr:nvSpPr>
            <xdr:cNvPr id="188" name="直接连接符 187"/>
            <xdr:cNvSpPr/>
          </xdr:nvSpPr>
          <xdr:spPr>
            <a:xfrm>
              <a:off x="3968" y="3914"/>
              <a:ext cx="904" cy="0"/>
            </a:xfrm>
            <a:prstGeom prst="line">
              <a:avLst/>
            </a:prstGeom>
            <a:ln w="12700" cap="flat" cmpd="sng">
              <a:solidFill>
                <a:schemeClr val="tx2"/>
              </a:solidFill>
              <a:prstDash val="lgDash"/>
              <a:headEnd type="none" w="sm" len="lg"/>
              <a:tailEnd type="none" w="sm" len="lg"/>
            </a:ln>
          </xdr:spPr>
        </xdr:sp>
        <xdr:sp macro="" textlink="">
          <xdr:nvSpPr>
            <xdr:cNvPr id="189" name="直接连接符 188"/>
            <xdr:cNvSpPr/>
          </xdr:nvSpPr>
          <xdr:spPr>
            <a:xfrm>
              <a:off x="3914" y="3964"/>
              <a:ext cx="904" cy="0"/>
            </a:xfrm>
            <a:prstGeom prst="line">
              <a:avLst/>
            </a:prstGeom>
            <a:ln w="12700" cap="flat" cmpd="sng">
              <a:solidFill>
                <a:schemeClr val="tx2"/>
              </a:solidFill>
              <a:prstDash val="lgDash"/>
              <a:headEnd type="none" w="sm" len="lg"/>
              <a:tailEnd type="none" w="sm" len="lg"/>
            </a:ln>
          </xdr:spPr>
        </xdr:sp>
        <xdr:sp macro="" textlink="">
          <xdr:nvSpPr>
            <xdr:cNvPr id="190" name="直接连接符 189"/>
            <xdr:cNvSpPr/>
          </xdr:nvSpPr>
          <xdr:spPr>
            <a:xfrm>
              <a:off x="3964" y="4014"/>
              <a:ext cx="904" cy="0"/>
            </a:xfrm>
            <a:prstGeom prst="line">
              <a:avLst/>
            </a:prstGeom>
            <a:ln w="12700" cap="flat" cmpd="sng">
              <a:solidFill>
                <a:schemeClr val="tx2"/>
              </a:solidFill>
              <a:prstDash val="lgDash"/>
              <a:headEnd type="none" w="sm" len="lg"/>
              <a:tailEnd type="none" w="sm" len="lg"/>
            </a:ln>
          </xdr:spPr>
        </xdr:sp>
        <xdr:sp macro="" textlink="">
          <xdr:nvSpPr>
            <xdr:cNvPr id="191" name="直接连接符 190"/>
            <xdr:cNvSpPr/>
          </xdr:nvSpPr>
          <xdr:spPr>
            <a:xfrm>
              <a:off x="3924" y="4070"/>
              <a:ext cx="904" cy="0"/>
            </a:xfrm>
            <a:prstGeom prst="line">
              <a:avLst/>
            </a:prstGeom>
            <a:ln w="12700" cap="flat" cmpd="sng">
              <a:solidFill>
                <a:schemeClr val="tx2"/>
              </a:solidFill>
              <a:prstDash val="lgDash"/>
              <a:headEnd type="none" w="sm" len="lg"/>
              <a:tailEnd type="none" w="sm" len="lg"/>
            </a:ln>
          </xdr:spPr>
        </xdr:sp>
      </xdr:grpSp>
      <xdr:grpSp>
        <xdr:nvGrpSpPr>
          <xdr:cNvPr id="168" name="组合 167"/>
          <xdr:cNvGrpSpPr/>
        </xdr:nvGrpSpPr>
        <xdr:grpSpPr>
          <a:xfrm>
            <a:off x="3849" y="2566"/>
            <a:ext cx="546" cy="1620"/>
            <a:chOff x="3834" y="2566"/>
            <a:chExt cx="546" cy="1620"/>
          </a:xfrm>
        </xdr:grpSpPr>
        <xdr:grpSp>
          <xdr:nvGrpSpPr>
            <xdr:cNvPr id="179" name="组合 178"/>
            <xdr:cNvGrpSpPr/>
          </xdr:nvGrpSpPr>
          <xdr:grpSpPr>
            <a:xfrm>
              <a:off x="3858" y="2844"/>
              <a:ext cx="74" cy="516"/>
              <a:chOff x="930" y="3254"/>
              <a:chExt cx="74" cy="516"/>
            </a:xfrm>
          </xdr:grpSpPr>
          <xdr:sp macro="" textlink="">
            <xdr:nvSpPr>
              <xdr:cNvPr id="184" name="直接连接符 183"/>
              <xdr:cNvSpPr/>
            </xdr:nvSpPr>
            <xdr:spPr>
              <a:xfrm flipH="1">
                <a:off x="934" y="3254"/>
                <a:ext cx="70" cy="0"/>
              </a:xfrm>
              <a:prstGeom prst="line">
                <a:avLst/>
              </a:prstGeom>
              <a:ln w="28575" cap="flat" cmpd="sng">
                <a:solidFill>
                  <a:schemeClr val="tx2"/>
                </a:solidFill>
                <a:prstDash val="solid"/>
                <a:headEnd type="none" w="sm" len="lg"/>
                <a:tailEnd type="none" w="sm" len="lg"/>
              </a:ln>
            </xdr:spPr>
          </xdr:sp>
          <xdr:sp macro="" textlink="">
            <xdr:nvSpPr>
              <xdr:cNvPr id="185" name="直接连接符 184"/>
              <xdr:cNvSpPr/>
            </xdr:nvSpPr>
            <xdr:spPr>
              <a:xfrm>
                <a:off x="966" y="3256"/>
                <a:ext cx="0" cy="514"/>
              </a:xfrm>
              <a:prstGeom prst="line">
                <a:avLst/>
              </a:prstGeom>
              <a:ln w="28575" cap="flat" cmpd="sng">
                <a:solidFill>
                  <a:schemeClr val="tx2"/>
                </a:solidFill>
                <a:prstDash val="solid"/>
                <a:headEnd type="none" w="sm" len="lg"/>
                <a:tailEnd type="none" w="sm" len="lg"/>
              </a:ln>
            </xdr:spPr>
          </xdr:sp>
          <xdr:sp macro="" textlink="">
            <xdr:nvSpPr>
              <xdr:cNvPr id="186" name="直接连接符 185"/>
              <xdr:cNvSpPr/>
            </xdr:nvSpPr>
            <xdr:spPr>
              <a:xfrm>
                <a:off x="930" y="3764"/>
                <a:ext cx="68" cy="0"/>
              </a:xfrm>
              <a:prstGeom prst="line">
                <a:avLst/>
              </a:prstGeom>
              <a:ln w="28575" cap="flat" cmpd="sng">
                <a:solidFill>
                  <a:schemeClr val="tx2"/>
                </a:solidFill>
                <a:prstDash val="solid"/>
                <a:headEnd type="none" w="sm" len="lg"/>
                <a:tailEnd type="none" w="sm" len="lg"/>
              </a:ln>
            </xdr:spPr>
          </xdr:sp>
        </xdr:grpSp>
        <xdr:sp macro="" textlink="">
          <xdr:nvSpPr>
            <xdr:cNvPr id="180" name="任意多边形 179"/>
            <xdr:cNvSpPr/>
          </xdr:nvSpPr>
          <xdr:spPr>
            <a:xfrm>
              <a:off x="3834" y="3446"/>
              <a:ext cx="546" cy="740"/>
            </a:xfrm>
            <a:custGeom>
              <a:avLst/>
              <a:gdLst/>
              <a:ahLst/>
              <a:cxnLst/>
              <a:rect l="0" t="0" r="0" b="0"/>
              <a:pathLst>
                <a:path w="546" h="740">
                  <a:moveTo>
                    <a:pt x="14" y="0"/>
                  </a:moveTo>
                  <a:lnTo>
                    <a:pt x="98" y="0"/>
                  </a:lnTo>
                  <a:lnTo>
                    <a:pt x="56" y="0"/>
                  </a:lnTo>
                  <a:lnTo>
                    <a:pt x="56" y="658"/>
                  </a:lnTo>
                  <a:lnTo>
                    <a:pt x="50" y="694"/>
                  </a:lnTo>
                  <a:lnTo>
                    <a:pt x="36" y="712"/>
                  </a:lnTo>
                  <a:lnTo>
                    <a:pt x="0" y="740"/>
                  </a:lnTo>
                  <a:lnTo>
                    <a:pt x="26" y="720"/>
                  </a:lnTo>
                  <a:lnTo>
                    <a:pt x="46" y="700"/>
                  </a:lnTo>
                  <a:lnTo>
                    <a:pt x="56" y="670"/>
                  </a:lnTo>
                  <a:lnTo>
                    <a:pt x="546" y="670"/>
                  </a:lnTo>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nvGrpSpPr>
            <xdr:cNvPr id="181" name="组合 180"/>
            <xdr:cNvGrpSpPr/>
          </xdr:nvGrpSpPr>
          <xdr:grpSpPr>
            <a:xfrm>
              <a:off x="3858" y="2566"/>
              <a:ext cx="508" cy="246"/>
              <a:chOff x="3858" y="2566"/>
              <a:chExt cx="508" cy="246"/>
            </a:xfrm>
          </xdr:grpSpPr>
          <xdr:sp macro="" textlink="">
            <xdr:nvSpPr>
              <xdr:cNvPr id="182" name="直接连接符 181"/>
              <xdr:cNvSpPr/>
            </xdr:nvSpPr>
            <xdr:spPr>
              <a:xfrm flipH="1">
                <a:off x="3858" y="2810"/>
                <a:ext cx="70" cy="0"/>
              </a:xfrm>
              <a:prstGeom prst="line">
                <a:avLst/>
              </a:prstGeom>
              <a:ln w="28575" cap="flat" cmpd="sng">
                <a:solidFill>
                  <a:schemeClr val="tx2"/>
                </a:solidFill>
                <a:prstDash val="solid"/>
                <a:headEnd type="none" w="sm" len="lg"/>
                <a:tailEnd type="none" w="sm" len="lg"/>
              </a:ln>
            </xdr:spPr>
          </xdr:sp>
          <xdr:sp macro="" textlink="">
            <xdr:nvSpPr>
              <xdr:cNvPr id="183" name="任意多边形 182"/>
              <xdr:cNvSpPr/>
            </xdr:nvSpPr>
            <xdr:spPr>
              <a:xfrm>
                <a:off x="3893" y="2566"/>
                <a:ext cx="473" cy="246"/>
              </a:xfrm>
              <a:custGeom>
                <a:avLst/>
                <a:gdLst/>
                <a:ahLst/>
                <a:cxnLst/>
                <a:rect l="0" t="0" r="0" b="0"/>
                <a:pathLst>
                  <a:path w="473" h="246">
                    <a:moveTo>
                      <a:pt x="0" y="246"/>
                    </a:moveTo>
                    <a:lnTo>
                      <a:pt x="1" y="76"/>
                    </a:lnTo>
                    <a:lnTo>
                      <a:pt x="13" y="56"/>
                    </a:lnTo>
                    <a:lnTo>
                      <a:pt x="37" y="38"/>
                    </a:lnTo>
                    <a:lnTo>
                      <a:pt x="473" y="38"/>
                    </a:lnTo>
                    <a:lnTo>
                      <a:pt x="473" y="0"/>
                    </a:lnTo>
                    <a:lnTo>
                      <a:pt x="473" y="76"/>
                    </a:lnTo>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grpSp>
      <xdr:grpSp>
        <xdr:nvGrpSpPr>
          <xdr:cNvPr id="169" name="组合 168"/>
          <xdr:cNvGrpSpPr/>
        </xdr:nvGrpSpPr>
        <xdr:grpSpPr>
          <a:xfrm flipH="1">
            <a:off x="4395" y="2566"/>
            <a:ext cx="546" cy="1620"/>
            <a:chOff x="3834" y="2566"/>
            <a:chExt cx="546" cy="1620"/>
          </a:xfrm>
        </xdr:grpSpPr>
        <xdr:grpSp>
          <xdr:nvGrpSpPr>
            <xdr:cNvPr id="171" name="组合 170"/>
            <xdr:cNvGrpSpPr/>
          </xdr:nvGrpSpPr>
          <xdr:grpSpPr>
            <a:xfrm>
              <a:off x="3858" y="2844"/>
              <a:ext cx="74" cy="516"/>
              <a:chOff x="930" y="3254"/>
              <a:chExt cx="74" cy="516"/>
            </a:xfrm>
          </xdr:grpSpPr>
          <xdr:sp macro="" textlink="">
            <xdr:nvSpPr>
              <xdr:cNvPr id="176" name="直接连接符 175"/>
              <xdr:cNvSpPr/>
            </xdr:nvSpPr>
            <xdr:spPr>
              <a:xfrm flipH="1">
                <a:off x="934" y="3254"/>
                <a:ext cx="70" cy="0"/>
              </a:xfrm>
              <a:prstGeom prst="line">
                <a:avLst/>
              </a:prstGeom>
              <a:ln w="28575" cap="flat" cmpd="sng">
                <a:solidFill>
                  <a:schemeClr val="tx2"/>
                </a:solidFill>
                <a:prstDash val="solid"/>
                <a:headEnd type="none" w="sm" len="lg"/>
                <a:tailEnd type="none" w="sm" len="lg"/>
              </a:ln>
            </xdr:spPr>
          </xdr:sp>
          <xdr:sp macro="" textlink="">
            <xdr:nvSpPr>
              <xdr:cNvPr id="177" name="直接连接符 176"/>
              <xdr:cNvSpPr/>
            </xdr:nvSpPr>
            <xdr:spPr>
              <a:xfrm>
                <a:off x="966" y="3256"/>
                <a:ext cx="0" cy="514"/>
              </a:xfrm>
              <a:prstGeom prst="line">
                <a:avLst/>
              </a:prstGeom>
              <a:ln w="28575" cap="flat" cmpd="sng">
                <a:solidFill>
                  <a:schemeClr val="tx2"/>
                </a:solidFill>
                <a:prstDash val="solid"/>
                <a:headEnd type="none" w="sm" len="lg"/>
                <a:tailEnd type="none" w="sm" len="lg"/>
              </a:ln>
            </xdr:spPr>
          </xdr:sp>
          <xdr:sp macro="" textlink="">
            <xdr:nvSpPr>
              <xdr:cNvPr id="178" name="直接连接符 177"/>
              <xdr:cNvSpPr/>
            </xdr:nvSpPr>
            <xdr:spPr>
              <a:xfrm>
                <a:off x="930" y="3764"/>
                <a:ext cx="68" cy="0"/>
              </a:xfrm>
              <a:prstGeom prst="line">
                <a:avLst/>
              </a:prstGeom>
              <a:ln w="28575" cap="flat" cmpd="sng">
                <a:solidFill>
                  <a:schemeClr val="tx2"/>
                </a:solidFill>
                <a:prstDash val="solid"/>
                <a:headEnd type="none" w="sm" len="lg"/>
                <a:tailEnd type="none" w="sm" len="lg"/>
              </a:ln>
            </xdr:spPr>
          </xdr:sp>
        </xdr:grpSp>
        <xdr:sp macro="" textlink="">
          <xdr:nvSpPr>
            <xdr:cNvPr id="172" name="任意多边形 171"/>
            <xdr:cNvSpPr/>
          </xdr:nvSpPr>
          <xdr:spPr>
            <a:xfrm>
              <a:off x="3834" y="3446"/>
              <a:ext cx="546" cy="740"/>
            </a:xfrm>
            <a:custGeom>
              <a:avLst/>
              <a:gdLst/>
              <a:ahLst/>
              <a:cxnLst/>
              <a:rect l="0" t="0" r="0" b="0"/>
              <a:pathLst>
                <a:path w="546" h="740">
                  <a:moveTo>
                    <a:pt x="14" y="0"/>
                  </a:moveTo>
                  <a:lnTo>
                    <a:pt x="98" y="0"/>
                  </a:lnTo>
                  <a:lnTo>
                    <a:pt x="56" y="0"/>
                  </a:lnTo>
                  <a:lnTo>
                    <a:pt x="56" y="658"/>
                  </a:lnTo>
                  <a:lnTo>
                    <a:pt x="50" y="694"/>
                  </a:lnTo>
                  <a:lnTo>
                    <a:pt x="36" y="712"/>
                  </a:lnTo>
                  <a:lnTo>
                    <a:pt x="0" y="740"/>
                  </a:lnTo>
                  <a:lnTo>
                    <a:pt x="26" y="720"/>
                  </a:lnTo>
                  <a:lnTo>
                    <a:pt x="46" y="700"/>
                  </a:lnTo>
                  <a:lnTo>
                    <a:pt x="56" y="670"/>
                  </a:lnTo>
                  <a:lnTo>
                    <a:pt x="546" y="670"/>
                  </a:lnTo>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nvGrpSpPr>
            <xdr:cNvPr id="173" name="组合 172"/>
            <xdr:cNvGrpSpPr/>
          </xdr:nvGrpSpPr>
          <xdr:grpSpPr>
            <a:xfrm>
              <a:off x="3858" y="2566"/>
              <a:ext cx="508" cy="246"/>
              <a:chOff x="3858" y="2566"/>
              <a:chExt cx="508" cy="246"/>
            </a:xfrm>
          </xdr:grpSpPr>
          <xdr:sp macro="" textlink="">
            <xdr:nvSpPr>
              <xdr:cNvPr id="174" name="直接连接符 173"/>
              <xdr:cNvSpPr/>
            </xdr:nvSpPr>
            <xdr:spPr>
              <a:xfrm flipH="1">
                <a:off x="3858" y="2810"/>
                <a:ext cx="70" cy="0"/>
              </a:xfrm>
              <a:prstGeom prst="line">
                <a:avLst/>
              </a:prstGeom>
              <a:ln w="28575" cap="flat" cmpd="sng">
                <a:solidFill>
                  <a:schemeClr val="tx2"/>
                </a:solidFill>
                <a:prstDash val="solid"/>
                <a:headEnd type="none" w="sm" len="lg"/>
                <a:tailEnd type="none" w="sm" len="lg"/>
              </a:ln>
            </xdr:spPr>
          </xdr:sp>
          <xdr:sp macro="" textlink="">
            <xdr:nvSpPr>
              <xdr:cNvPr id="175" name="任意多边形 174"/>
              <xdr:cNvSpPr/>
            </xdr:nvSpPr>
            <xdr:spPr>
              <a:xfrm>
                <a:off x="3893" y="2566"/>
                <a:ext cx="473" cy="246"/>
              </a:xfrm>
              <a:custGeom>
                <a:avLst/>
                <a:gdLst/>
                <a:ahLst/>
                <a:cxnLst/>
                <a:rect l="0" t="0" r="0" b="0"/>
                <a:pathLst>
                  <a:path w="473" h="246">
                    <a:moveTo>
                      <a:pt x="0" y="246"/>
                    </a:moveTo>
                    <a:lnTo>
                      <a:pt x="1" y="76"/>
                    </a:lnTo>
                    <a:lnTo>
                      <a:pt x="13" y="56"/>
                    </a:lnTo>
                    <a:lnTo>
                      <a:pt x="37" y="38"/>
                    </a:lnTo>
                    <a:lnTo>
                      <a:pt x="473" y="38"/>
                    </a:lnTo>
                    <a:lnTo>
                      <a:pt x="473" y="0"/>
                    </a:lnTo>
                    <a:lnTo>
                      <a:pt x="473" y="76"/>
                    </a:lnTo>
                  </a:path>
                </a:pathLst>
              </a:custGeom>
              <a:noFill/>
              <a:ln w="28575" cap="flat" cmpd="sng">
                <a:solidFill>
                  <a:schemeClr val="tx2"/>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grpSp>
      <xdr:sp macro="" textlink="">
        <xdr:nvSpPr>
          <xdr:cNvPr id="170" name="矩形 169"/>
          <xdr:cNvSpPr/>
        </xdr:nvSpPr>
        <xdr:spPr>
          <a:xfrm>
            <a:off x="4887" y="4005"/>
            <a:ext cx="87" cy="56"/>
          </a:xfrm>
          <a:prstGeom prst="rect">
            <a:avLst/>
          </a:prstGeom>
          <a:noFill/>
          <a:ln w="28575" cap="flat" cmpd="sng">
            <a:solidFill>
              <a:schemeClr val="tx2"/>
            </a:solidFill>
            <a:prstDash val="solid"/>
            <a:miter/>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clientData/>
  </xdr:twoCellAnchor>
  <xdr:twoCellAnchor>
    <xdr:from>
      <xdr:col>3</xdr:col>
      <xdr:colOff>361957</xdr:colOff>
      <xdr:row>81</xdr:row>
      <xdr:rowOff>95251</xdr:rowOff>
    </xdr:from>
    <xdr:to>
      <xdr:col>4</xdr:col>
      <xdr:colOff>447675</xdr:colOff>
      <xdr:row>89</xdr:row>
      <xdr:rowOff>9525</xdr:rowOff>
    </xdr:to>
    <xdr:grpSp>
      <xdr:nvGrpSpPr>
        <xdr:cNvPr id="199" name="组合 198"/>
        <xdr:cNvGrpSpPr/>
      </xdr:nvGrpSpPr>
      <xdr:grpSpPr>
        <a:xfrm>
          <a:off x="3952882" y="17135476"/>
          <a:ext cx="1276343" cy="1590674"/>
          <a:chOff x="4164" y="2416"/>
          <a:chExt cx="1372" cy="1784"/>
        </a:xfrm>
      </xdr:grpSpPr>
      <xdr:grpSp>
        <xdr:nvGrpSpPr>
          <xdr:cNvPr id="200" name="组合 199"/>
          <xdr:cNvGrpSpPr/>
        </xdr:nvGrpSpPr>
        <xdr:grpSpPr>
          <a:xfrm>
            <a:off x="4164" y="2416"/>
            <a:ext cx="1372" cy="1784"/>
            <a:chOff x="4296" y="2452"/>
            <a:chExt cx="1372" cy="1784"/>
          </a:xfrm>
        </xdr:grpSpPr>
        <xdr:sp macro="" textlink="">
          <xdr:nvSpPr>
            <xdr:cNvPr id="203" name="椭圆 202"/>
            <xdr:cNvSpPr/>
          </xdr:nvSpPr>
          <xdr:spPr>
            <a:xfrm>
              <a:off x="5139" y="3876"/>
              <a:ext cx="285" cy="291"/>
            </a:xfrm>
            <a:prstGeom prst="ellipse">
              <a:avLst/>
            </a:prstGeom>
            <a:noFill/>
            <a:ln w="28575" cap="flat" cmpd="sng">
              <a:solidFill>
                <a:srgbClr val="FF0000"/>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204" name="直接连接符 203"/>
            <xdr:cNvSpPr/>
          </xdr:nvSpPr>
          <xdr:spPr>
            <a:xfrm>
              <a:off x="4899" y="4032"/>
              <a:ext cx="243" cy="0"/>
            </a:xfrm>
            <a:prstGeom prst="line">
              <a:avLst/>
            </a:prstGeom>
            <a:ln w="28575" cap="flat" cmpd="sng">
              <a:solidFill>
                <a:srgbClr val="FF0000"/>
              </a:solidFill>
              <a:prstDash val="solid"/>
              <a:headEnd type="none" w="sm" len="lg"/>
              <a:tailEnd type="triangle" w="sm" len="lg"/>
            </a:ln>
          </xdr:spPr>
        </xdr:sp>
        <xdr:sp macro="" textlink="">
          <xdr:nvSpPr>
            <xdr:cNvPr id="205" name="等腰三角形 204"/>
            <xdr:cNvSpPr/>
          </xdr:nvSpPr>
          <xdr:spPr>
            <a:xfrm rot="5334616">
              <a:off x="5301" y="3972"/>
              <a:ext cx="108" cy="102"/>
            </a:xfrm>
            <a:prstGeom prst="triangle">
              <a:avLst>
                <a:gd name="adj" fmla="val 50000"/>
              </a:avLst>
            </a:prstGeom>
            <a:solidFill>
              <a:schemeClr val="accent2"/>
            </a:solidFill>
            <a:ln w="28575" cap="flat" cmpd="sng">
              <a:solidFill>
                <a:srgbClr val="FF0000"/>
              </a:solidFill>
              <a:prstDash val="solid"/>
              <a:miter/>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206" name="直接连接符 205"/>
            <xdr:cNvSpPr/>
          </xdr:nvSpPr>
          <xdr:spPr>
            <a:xfrm>
              <a:off x="5133" y="4026"/>
              <a:ext cx="276" cy="0"/>
            </a:xfrm>
            <a:prstGeom prst="line">
              <a:avLst/>
            </a:prstGeom>
            <a:ln w="19050" cap="flat" cmpd="sng">
              <a:solidFill>
                <a:srgbClr val="FF0000"/>
              </a:solidFill>
              <a:prstDash val="solid"/>
              <a:headEnd type="none" w="sm" len="lg"/>
              <a:tailEnd type="none" w="sm" len="lg"/>
            </a:ln>
          </xdr:spPr>
        </xdr:sp>
        <xdr:grpSp>
          <xdr:nvGrpSpPr>
            <xdr:cNvPr id="207" name="组合 206"/>
            <xdr:cNvGrpSpPr/>
          </xdr:nvGrpSpPr>
          <xdr:grpSpPr>
            <a:xfrm>
              <a:off x="5443" y="3612"/>
              <a:ext cx="188" cy="408"/>
              <a:chOff x="5418" y="3612"/>
              <a:chExt cx="219" cy="408"/>
            </a:xfrm>
          </xdr:grpSpPr>
          <xdr:grpSp>
            <xdr:nvGrpSpPr>
              <xdr:cNvPr id="215" name="组合 214"/>
              <xdr:cNvGrpSpPr/>
            </xdr:nvGrpSpPr>
            <xdr:grpSpPr>
              <a:xfrm>
                <a:off x="5463" y="3612"/>
                <a:ext cx="174" cy="126"/>
                <a:chOff x="5205" y="3513"/>
                <a:chExt cx="174" cy="126"/>
              </a:xfrm>
            </xdr:grpSpPr>
            <xdr:sp macro="" textlink="">
              <xdr:nvSpPr>
                <xdr:cNvPr id="217" name="矩形 216"/>
                <xdr:cNvSpPr/>
              </xdr:nvSpPr>
              <xdr:spPr>
                <a:xfrm rot="-2506281">
                  <a:off x="5226" y="3513"/>
                  <a:ext cx="138" cy="126"/>
                </a:xfrm>
                <a:prstGeom prst="rect">
                  <a:avLst/>
                </a:prstGeom>
                <a:noFill/>
                <a:ln w="28575" cap="flat" cmpd="sng">
                  <a:solidFill>
                    <a:srgbClr val="FF0000"/>
                  </a:solidFill>
                  <a:prstDash val="solid"/>
                  <a:miter/>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218" name="直接连接符 217"/>
                <xdr:cNvSpPr/>
              </xdr:nvSpPr>
              <xdr:spPr>
                <a:xfrm>
                  <a:off x="5205" y="3576"/>
                  <a:ext cx="174" cy="0"/>
                </a:xfrm>
                <a:prstGeom prst="line">
                  <a:avLst/>
                </a:prstGeom>
                <a:ln w="19050" cap="flat" cmpd="sng">
                  <a:solidFill>
                    <a:srgbClr val="FF0000"/>
                  </a:solidFill>
                  <a:prstDash val="dash"/>
                  <a:headEnd type="none" w="sm" len="lg"/>
                  <a:tailEnd type="none" w="sm" len="lg"/>
                </a:ln>
              </xdr:spPr>
            </xdr:sp>
          </xdr:grpSp>
          <xdr:sp macro="" textlink="">
            <xdr:nvSpPr>
              <xdr:cNvPr id="216" name="任意多边形 215"/>
              <xdr:cNvSpPr/>
            </xdr:nvSpPr>
            <xdr:spPr>
              <a:xfrm>
                <a:off x="5418" y="3756"/>
                <a:ext cx="135" cy="264"/>
              </a:xfrm>
              <a:custGeom>
                <a:avLst/>
                <a:gdLst/>
                <a:ahLst/>
                <a:cxnLst/>
                <a:rect l="0" t="0" r="0" b="0"/>
                <a:pathLst>
                  <a:path w="135" h="264">
                    <a:moveTo>
                      <a:pt x="0" y="264"/>
                    </a:moveTo>
                    <a:lnTo>
                      <a:pt x="135" y="264"/>
                    </a:lnTo>
                    <a:lnTo>
                      <a:pt x="135" y="0"/>
                    </a:lnTo>
                  </a:path>
                </a:pathLst>
              </a:custGeom>
              <a:noFill/>
              <a:ln w="28575" cap="flat" cmpd="sng">
                <a:solidFill>
                  <a:srgbClr val="FF0000"/>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sp macro="" textlink="">
          <xdr:nvSpPr>
            <xdr:cNvPr id="208" name="直接连接符 207"/>
            <xdr:cNvSpPr/>
          </xdr:nvSpPr>
          <xdr:spPr>
            <a:xfrm>
              <a:off x="5277" y="3816"/>
              <a:ext cx="0" cy="420"/>
            </a:xfrm>
            <a:prstGeom prst="line">
              <a:avLst/>
            </a:prstGeom>
            <a:ln w="12700" cap="flat" cmpd="sng">
              <a:solidFill>
                <a:srgbClr val="FF0000"/>
              </a:solidFill>
              <a:prstDash val="lgDashDot"/>
              <a:headEnd type="none" w="sm" len="lg"/>
              <a:tailEnd type="none" w="sm" len="lg"/>
            </a:ln>
          </xdr:spPr>
        </xdr:sp>
        <xdr:sp macro="" textlink="">
          <xdr:nvSpPr>
            <xdr:cNvPr id="209" name="矩形 208"/>
            <xdr:cNvSpPr/>
          </xdr:nvSpPr>
          <xdr:spPr>
            <a:xfrm>
              <a:off x="5404" y="2792"/>
              <a:ext cx="264" cy="476"/>
            </a:xfrm>
            <a:prstGeom prst="rect">
              <a:avLst/>
            </a:prstGeom>
            <a:noFill/>
            <a:ln w="28575" cap="flat" cmpd="sng">
              <a:solidFill>
                <a:srgbClr val="FF0000"/>
              </a:solidFill>
              <a:prstDash val="solid"/>
              <a:miter/>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sp macro="" textlink="">
          <xdr:nvSpPr>
            <xdr:cNvPr id="210" name="任意多边形 209"/>
            <xdr:cNvSpPr/>
          </xdr:nvSpPr>
          <xdr:spPr>
            <a:xfrm>
              <a:off x="4396" y="2452"/>
              <a:ext cx="1208" cy="1132"/>
            </a:xfrm>
            <a:custGeom>
              <a:avLst/>
              <a:gdLst/>
              <a:ahLst/>
              <a:cxnLst/>
              <a:rect l="0" t="0" r="0" b="0"/>
              <a:pathLst>
                <a:path w="1208" h="1132">
                  <a:moveTo>
                    <a:pt x="1144" y="1132"/>
                  </a:moveTo>
                  <a:lnTo>
                    <a:pt x="1144" y="768"/>
                  </a:lnTo>
                  <a:lnTo>
                    <a:pt x="1060" y="704"/>
                  </a:lnTo>
                  <a:lnTo>
                    <a:pt x="1208" y="636"/>
                  </a:lnTo>
                  <a:lnTo>
                    <a:pt x="1068" y="548"/>
                  </a:lnTo>
                  <a:lnTo>
                    <a:pt x="1208" y="492"/>
                  </a:lnTo>
                  <a:lnTo>
                    <a:pt x="1072" y="408"/>
                  </a:lnTo>
                  <a:lnTo>
                    <a:pt x="1148" y="360"/>
                  </a:lnTo>
                  <a:lnTo>
                    <a:pt x="1148" y="68"/>
                  </a:lnTo>
                  <a:lnTo>
                    <a:pt x="1132" y="32"/>
                  </a:lnTo>
                  <a:lnTo>
                    <a:pt x="1092" y="0"/>
                  </a:lnTo>
                  <a:lnTo>
                    <a:pt x="0" y="0"/>
                  </a:lnTo>
                  <a:lnTo>
                    <a:pt x="0" y="228"/>
                  </a:lnTo>
                </a:path>
              </a:pathLst>
            </a:custGeom>
            <a:noFill/>
            <a:ln w="28575" cap="flat" cmpd="sng">
              <a:solidFill>
                <a:srgbClr val="FF0000"/>
              </a:solidFill>
              <a:prstDash val="solid"/>
              <a:headEnd type="none" w="sm" len="lg"/>
              <a:tailEnd type="none" w="sm" len="lg"/>
            </a:ln>
          </xdr:spPr>
          <xdr:txBody>
            <a:bodyPr wrap="square"/>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grpSp>
          <xdr:nvGrpSpPr>
            <xdr:cNvPr id="211" name="组合 210"/>
            <xdr:cNvGrpSpPr/>
          </xdr:nvGrpSpPr>
          <xdr:grpSpPr>
            <a:xfrm>
              <a:off x="4296" y="2676"/>
              <a:ext cx="208" cy="212"/>
              <a:chOff x="4296" y="2676"/>
              <a:chExt cx="208" cy="212"/>
            </a:xfrm>
          </xdr:grpSpPr>
          <xdr:sp macro="" textlink="">
            <xdr:nvSpPr>
              <xdr:cNvPr id="212" name="直接连接符 211"/>
              <xdr:cNvSpPr/>
            </xdr:nvSpPr>
            <xdr:spPr>
              <a:xfrm>
                <a:off x="4396" y="2688"/>
                <a:ext cx="0" cy="200"/>
              </a:xfrm>
              <a:prstGeom prst="line">
                <a:avLst/>
              </a:prstGeom>
              <a:ln w="19050" cap="flat" cmpd="sng">
                <a:solidFill>
                  <a:srgbClr val="66FF33"/>
                </a:solidFill>
                <a:prstDash val="solid"/>
                <a:headEnd type="none" w="sm" len="lg"/>
                <a:tailEnd type="triangle" w="sm" len="lg"/>
              </a:ln>
            </xdr:spPr>
          </xdr:sp>
          <xdr:sp macro="" textlink="">
            <xdr:nvSpPr>
              <xdr:cNvPr id="213" name="直接连接符 212"/>
              <xdr:cNvSpPr/>
            </xdr:nvSpPr>
            <xdr:spPr>
              <a:xfrm flipH="1">
                <a:off x="4296" y="2676"/>
                <a:ext cx="76" cy="205"/>
              </a:xfrm>
              <a:prstGeom prst="line">
                <a:avLst/>
              </a:prstGeom>
              <a:ln w="28575" cap="flat" cmpd="sng">
                <a:solidFill>
                  <a:srgbClr val="66FF33"/>
                </a:solidFill>
                <a:prstDash val="solid"/>
                <a:headEnd type="none" w="sm" len="lg"/>
                <a:tailEnd type="triangle" w="sm" len="lg"/>
              </a:ln>
            </xdr:spPr>
          </xdr:sp>
          <xdr:sp macro="" textlink="">
            <xdr:nvSpPr>
              <xdr:cNvPr id="214" name="直接连接符 213"/>
              <xdr:cNvSpPr/>
            </xdr:nvSpPr>
            <xdr:spPr>
              <a:xfrm>
                <a:off x="4416" y="2692"/>
                <a:ext cx="88" cy="192"/>
              </a:xfrm>
              <a:prstGeom prst="line">
                <a:avLst/>
              </a:prstGeom>
              <a:ln w="28575" cap="flat" cmpd="sng">
                <a:solidFill>
                  <a:srgbClr val="66FF33"/>
                </a:solidFill>
                <a:prstDash val="solid"/>
                <a:headEnd type="none" w="sm" len="lg"/>
                <a:tailEnd type="triangle" w="sm" len="lg"/>
              </a:ln>
            </xdr:spPr>
          </xdr:sp>
        </xdr:grpSp>
      </xdr:grpSp>
      <xdr:sp macro="" textlink="">
        <xdr:nvSpPr>
          <xdr:cNvPr id="201" name="矩形 200"/>
          <xdr:cNvSpPr/>
        </xdr:nvSpPr>
        <xdr:spPr>
          <a:xfrm>
            <a:off x="4754" y="3449"/>
            <a:ext cx="405" cy="710"/>
          </a:xfrm>
          <a:prstGeom prst="rect">
            <a:avLst/>
          </a:prstGeom>
          <a:noFill/>
          <a:ln w="28575">
            <a:noFill/>
          </a:ln>
        </xdr:spPr>
        <xdr:txBody>
          <a:bodyPr wrap="square" anchor="t">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200" b="1">
                <a:solidFill>
                  <a:schemeClr val="tx2"/>
                </a:solidFill>
                <a:latin typeface="华文中宋" pitchFamily="2" charset="-122"/>
                <a:ea typeface="华文中宋" pitchFamily="2" charset="-122"/>
              </a:rPr>
              <a:t>油泵</a:t>
            </a:r>
          </a:p>
        </xdr:txBody>
      </xdr:sp>
      <xdr:sp macro="" textlink="">
        <xdr:nvSpPr>
          <xdr:cNvPr id="202" name="矩形 201"/>
          <xdr:cNvSpPr/>
        </xdr:nvSpPr>
        <xdr:spPr>
          <a:xfrm>
            <a:off x="4958" y="2544"/>
            <a:ext cx="368" cy="998"/>
          </a:xfrm>
          <a:prstGeom prst="rect">
            <a:avLst/>
          </a:prstGeom>
          <a:noFill/>
          <a:ln w="28575">
            <a:noFill/>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200" b="1">
                <a:solidFill>
                  <a:schemeClr val="tx2"/>
                </a:solidFill>
                <a:latin typeface="华文中宋" pitchFamily="2" charset="-122"/>
                <a:ea typeface="华文中宋" pitchFamily="2" charset="-122"/>
              </a:rPr>
              <a:t>冷却器</a:t>
            </a:r>
          </a:p>
        </xdr:txBody>
      </xdr:sp>
    </xdr:grpSp>
    <xdr:clientData/>
  </xdr:twoCellAnchor>
  <xdr:twoCellAnchor editAs="oneCell">
    <xdr:from>
      <xdr:col>5</xdr:col>
      <xdr:colOff>9525</xdr:colOff>
      <xdr:row>118</xdr:row>
      <xdr:rowOff>9525</xdr:rowOff>
    </xdr:from>
    <xdr:to>
      <xdr:col>10</xdr:col>
      <xdr:colOff>695325</xdr:colOff>
      <xdr:row>147</xdr:row>
      <xdr:rowOff>133349</xdr:rowOff>
    </xdr:to>
    <xdr:pic>
      <xdr:nvPicPr>
        <xdr:cNvPr id="5151" name="Picture 31"/>
        <xdr:cNvPicPr>
          <a:picLocks noChangeAspect="1" noChangeArrowheads="1"/>
        </xdr:cNvPicPr>
      </xdr:nvPicPr>
      <xdr:blipFill>
        <a:blip xmlns:r="http://schemas.openxmlformats.org/officeDocument/2006/relationships" r:embed="rId1" cstate="print"/>
        <a:srcRect/>
        <a:stretch>
          <a:fillRect/>
        </a:stretch>
      </xdr:blipFill>
      <xdr:spPr bwMode="auto">
        <a:xfrm rot="-5400000">
          <a:off x="5672138" y="24979312"/>
          <a:ext cx="6200774" cy="6172200"/>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219" name="五边形 218">
          <a:hlinkClick xmlns:r="http://schemas.openxmlformats.org/officeDocument/2006/relationships" r:id="rId2"/>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238125</xdr:colOff>
      <xdr:row>5</xdr:row>
      <xdr:rowOff>95246</xdr:rowOff>
    </xdr:from>
    <xdr:to>
      <xdr:col>14</xdr:col>
      <xdr:colOff>514350</xdr:colOff>
      <xdr:row>7</xdr:row>
      <xdr:rowOff>209549</xdr:rowOff>
    </xdr:to>
    <xdr:sp macro="" textlink="">
      <xdr:nvSpPr>
        <xdr:cNvPr id="17" name="燕尾形箭头 16"/>
        <xdr:cNvSpPr/>
      </xdr:nvSpPr>
      <xdr:spPr>
        <a:xfrm rot="-5400000">
          <a:off x="11215686" y="1338260"/>
          <a:ext cx="533403" cy="276225"/>
        </a:xfrm>
        <a:prstGeom prst="notchedRightArrow">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editAs="oneCell">
    <xdr:from>
      <xdr:col>8</xdr:col>
      <xdr:colOff>9525</xdr:colOff>
      <xdr:row>18</xdr:row>
      <xdr:rowOff>9525</xdr:rowOff>
    </xdr:from>
    <xdr:to>
      <xdr:col>12</xdr:col>
      <xdr:colOff>133350</xdr:colOff>
      <xdr:row>21</xdr:row>
      <xdr:rowOff>133923</xdr:rowOff>
    </xdr:to>
    <xdr:pic>
      <xdr:nvPicPr>
        <xdr:cNvPr id="4"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6619875" y="3857625"/>
          <a:ext cx="3057525" cy="781623"/>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1</xdr:col>
      <xdr:colOff>457201</xdr:colOff>
      <xdr:row>0</xdr:row>
      <xdr:rowOff>257175</xdr:rowOff>
    </xdr:to>
    <xdr:sp macro="" textlink="">
      <xdr:nvSpPr>
        <xdr:cNvPr id="5" name="五边形 4">
          <a:hlinkClick xmlns:r="http://schemas.openxmlformats.org/officeDocument/2006/relationships" r:id="rId2"/>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0</xdr:colOff>
      <xdr:row>17</xdr:row>
      <xdr:rowOff>0</xdr:rowOff>
    </xdr:from>
    <xdr:to>
      <xdr:col>18</xdr:col>
      <xdr:colOff>571500</xdr:colOff>
      <xdr:row>21</xdr:row>
      <xdr:rowOff>152400</xdr:rowOff>
    </xdr:to>
    <xdr:pic>
      <xdr:nvPicPr>
        <xdr:cNvPr id="22"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11172825" y="3219450"/>
          <a:ext cx="6867525" cy="1143000"/>
        </a:xfrm>
        <a:prstGeom prst="rect">
          <a:avLst/>
        </a:prstGeom>
        <a:noFill/>
        <a:ln w="1">
          <a:noFill/>
          <a:miter lim="800000"/>
          <a:headEnd/>
          <a:tailEnd type="none" w="med" len="med"/>
        </a:ln>
        <a:effectLst/>
      </xdr:spPr>
    </xdr:pic>
    <xdr:clientData/>
  </xdr:twoCellAnchor>
  <xdr:twoCellAnchor editAs="oneCell">
    <xdr:from>
      <xdr:col>5</xdr:col>
      <xdr:colOff>9525</xdr:colOff>
      <xdr:row>41</xdr:row>
      <xdr:rowOff>9525</xdr:rowOff>
    </xdr:from>
    <xdr:to>
      <xdr:col>11</xdr:col>
      <xdr:colOff>628650</xdr:colOff>
      <xdr:row>54</xdr:row>
      <xdr:rowOff>133350</xdr:rowOff>
    </xdr:to>
    <xdr:pic>
      <xdr:nvPicPr>
        <xdr:cNvPr id="24585" name="Picture 9"/>
        <xdr:cNvPicPr>
          <a:picLocks noChangeAspect="1" noChangeArrowheads="1"/>
        </xdr:cNvPicPr>
      </xdr:nvPicPr>
      <xdr:blipFill>
        <a:blip xmlns:r="http://schemas.openxmlformats.org/officeDocument/2006/relationships" r:embed="rId2" cstate="print"/>
        <a:srcRect/>
        <a:stretch>
          <a:fillRect/>
        </a:stretch>
      </xdr:blipFill>
      <xdr:spPr bwMode="auto">
        <a:xfrm>
          <a:off x="5724525" y="10163175"/>
          <a:ext cx="4562475" cy="3343275"/>
        </a:xfrm>
        <a:prstGeom prst="rect">
          <a:avLst/>
        </a:prstGeom>
        <a:noFill/>
        <a:ln w="1">
          <a:noFill/>
          <a:miter lim="800000"/>
          <a:headEnd/>
          <a:tailEnd type="none" w="med" len="med"/>
        </a:ln>
        <a:effectLst/>
      </xdr:spPr>
    </xdr:pic>
    <xdr:clientData/>
  </xdr:twoCellAnchor>
  <xdr:twoCellAnchor editAs="oneCell">
    <xdr:from>
      <xdr:col>5</xdr:col>
      <xdr:colOff>9525</xdr:colOff>
      <xdr:row>56</xdr:row>
      <xdr:rowOff>9525</xdr:rowOff>
    </xdr:from>
    <xdr:to>
      <xdr:col>13</xdr:col>
      <xdr:colOff>57150</xdr:colOff>
      <xdr:row>67</xdr:row>
      <xdr:rowOff>66675</xdr:rowOff>
    </xdr:to>
    <xdr:pic>
      <xdr:nvPicPr>
        <xdr:cNvPr id="10" name="Picture 16" descr="20052142032148856"/>
        <xdr:cNvPicPr>
          <a:picLocks noChangeAspect="1" noChangeArrowheads="1"/>
        </xdr:cNvPicPr>
      </xdr:nvPicPr>
      <xdr:blipFill>
        <a:blip xmlns:r="http://schemas.openxmlformats.org/officeDocument/2006/relationships" r:embed="rId3" cstate="print"/>
        <a:srcRect/>
        <a:stretch>
          <a:fillRect/>
        </a:stretch>
      </xdr:blipFill>
      <xdr:spPr bwMode="auto">
        <a:xfrm>
          <a:off x="5724525" y="12144375"/>
          <a:ext cx="5305425" cy="2781300"/>
        </a:xfrm>
        <a:prstGeom prst="rect">
          <a:avLst/>
        </a:prstGeom>
        <a:noFill/>
        <a:ln w="9525">
          <a:noFill/>
          <a:miter lim="800000"/>
          <a:headEnd/>
          <a:tailEnd/>
        </a:ln>
      </xdr:spPr>
    </xdr:pic>
    <xdr:clientData/>
  </xdr:twoCellAnchor>
  <xdr:twoCellAnchor>
    <xdr:from>
      <xdr:col>9</xdr:col>
      <xdr:colOff>504825</xdr:colOff>
      <xdr:row>59</xdr:row>
      <xdr:rowOff>142875</xdr:rowOff>
    </xdr:from>
    <xdr:to>
      <xdr:col>10</xdr:col>
      <xdr:colOff>95250</xdr:colOff>
      <xdr:row>60</xdr:row>
      <xdr:rowOff>76200</xdr:rowOff>
    </xdr:to>
    <xdr:sp macro="" textlink="">
      <xdr:nvSpPr>
        <xdr:cNvPr id="12" name="矩形 11"/>
        <xdr:cNvSpPr/>
      </xdr:nvSpPr>
      <xdr:spPr>
        <a:xfrm>
          <a:off x="8848725" y="13020675"/>
          <a:ext cx="247650" cy="180975"/>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lang="zh-CN" altLang="en-US" sz="1100"/>
        </a:p>
      </xdr:txBody>
    </xdr:sp>
    <xdr:clientData/>
  </xdr:twoCellAnchor>
  <xdr:twoCellAnchor>
    <xdr:from>
      <xdr:col>12</xdr:col>
      <xdr:colOff>400050</xdr:colOff>
      <xdr:row>58</xdr:row>
      <xdr:rowOff>238125</xdr:rowOff>
    </xdr:from>
    <xdr:to>
      <xdr:col>12</xdr:col>
      <xdr:colOff>647700</xdr:colOff>
      <xdr:row>59</xdr:row>
      <xdr:rowOff>171450</xdr:rowOff>
    </xdr:to>
    <xdr:sp macro="" textlink="">
      <xdr:nvSpPr>
        <xdr:cNvPr id="13" name="矩形 12"/>
        <xdr:cNvSpPr/>
      </xdr:nvSpPr>
      <xdr:spPr>
        <a:xfrm>
          <a:off x="10715625" y="12868275"/>
          <a:ext cx="247650" cy="180975"/>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lang="zh-CN" altLang="en-US" sz="1100"/>
        </a:p>
      </xdr:txBody>
    </xdr:sp>
    <xdr:clientData/>
  </xdr:twoCellAnchor>
  <xdr:twoCellAnchor>
    <xdr:from>
      <xdr:col>8</xdr:col>
      <xdr:colOff>581025</xdr:colOff>
      <xdr:row>60</xdr:row>
      <xdr:rowOff>0</xdr:rowOff>
    </xdr:from>
    <xdr:to>
      <xdr:col>9</xdr:col>
      <xdr:colOff>190500</xdr:colOff>
      <xdr:row>60</xdr:row>
      <xdr:rowOff>0</xdr:rowOff>
    </xdr:to>
    <xdr:cxnSp macro="">
      <xdr:nvCxnSpPr>
        <xdr:cNvPr id="20" name="直接箭头连接符 19"/>
        <xdr:cNvCxnSpPr/>
      </xdr:nvCxnSpPr>
      <xdr:spPr>
        <a:xfrm>
          <a:off x="8267700" y="13125450"/>
          <a:ext cx="266700" cy="0"/>
        </a:xfrm>
        <a:prstGeom prst="straightConnector1">
          <a:avLst/>
        </a:prstGeom>
        <a:ln>
          <a:solidFill>
            <a:srgbClr val="FF0000"/>
          </a:solidFill>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11</xdr:col>
      <xdr:colOff>438150</xdr:colOff>
      <xdr:row>59</xdr:row>
      <xdr:rowOff>219075</xdr:rowOff>
    </xdr:from>
    <xdr:to>
      <xdr:col>12</xdr:col>
      <xdr:colOff>47625</xdr:colOff>
      <xdr:row>59</xdr:row>
      <xdr:rowOff>219075</xdr:rowOff>
    </xdr:to>
    <xdr:cxnSp macro="">
      <xdr:nvCxnSpPr>
        <xdr:cNvPr id="21" name="直接箭头连接符 20"/>
        <xdr:cNvCxnSpPr/>
      </xdr:nvCxnSpPr>
      <xdr:spPr>
        <a:xfrm>
          <a:off x="10096500" y="13096875"/>
          <a:ext cx="266700" cy="0"/>
        </a:xfrm>
        <a:prstGeom prst="straightConnector1">
          <a:avLst/>
        </a:prstGeom>
        <a:ln>
          <a:solidFill>
            <a:srgbClr val="FF0000"/>
          </a:solidFill>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9</xdr:col>
      <xdr:colOff>266700</xdr:colOff>
      <xdr:row>60</xdr:row>
      <xdr:rowOff>0</xdr:rowOff>
    </xdr:from>
    <xdr:to>
      <xdr:col>9</xdr:col>
      <xdr:colOff>533400</xdr:colOff>
      <xdr:row>60</xdr:row>
      <xdr:rowOff>0</xdr:rowOff>
    </xdr:to>
    <xdr:cxnSp macro="">
      <xdr:nvCxnSpPr>
        <xdr:cNvPr id="26" name="直接箭头连接符 25"/>
        <xdr:cNvCxnSpPr/>
      </xdr:nvCxnSpPr>
      <xdr:spPr>
        <a:xfrm rot="10800000">
          <a:off x="8610600" y="13125450"/>
          <a:ext cx="266700" cy="0"/>
        </a:xfrm>
        <a:prstGeom prst="straightConnector1">
          <a:avLst/>
        </a:prstGeom>
        <a:ln>
          <a:solidFill>
            <a:srgbClr val="FF0000"/>
          </a:solidFill>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12</xdr:col>
      <xdr:colOff>76200</xdr:colOff>
      <xdr:row>59</xdr:row>
      <xdr:rowOff>209550</xdr:rowOff>
    </xdr:from>
    <xdr:to>
      <xdr:col>12</xdr:col>
      <xdr:colOff>342900</xdr:colOff>
      <xdr:row>59</xdr:row>
      <xdr:rowOff>209550</xdr:rowOff>
    </xdr:to>
    <xdr:cxnSp macro="">
      <xdr:nvCxnSpPr>
        <xdr:cNvPr id="27" name="直接箭头连接符 26"/>
        <xdr:cNvCxnSpPr/>
      </xdr:nvCxnSpPr>
      <xdr:spPr>
        <a:xfrm rot="10800000">
          <a:off x="10391775" y="13087350"/>
          <a:ext cx="266700" cy="0"/>
        </a:xfrm>
        <a:prstGeom prst="straightConnector1">
          <a:avLst/>
        </a:prstGeom>
        <a:ln>
          <a:solidFill>
            <a:srgbClr val="FF0000"/>
          </a:solidFill>
          <a:tailEnd type="arrow"/>
        </a:ln>
      </xdr:spPr>
      <xdr:style>
        <a:lnRef idx="2">
          <a:schemeClr val="accent2"/>
        </a:lnRef>
        <a:fillRef idx="0">
          <a:schemeClr val="accent2"/>
        </a:fillRef>
        <a:effectRef idx="1">
          <a:schemeClr val="accent2"/>
        </a:effectRef>
        <a:fontRef idx="minor">
          <a:schemeClr val="tx1"/>
        </a:fontRef>
      </xdr:style>
    </xdr:cxnSp>
    <xdr:clientData/>
  </xdr:twoCellAnchor>
  <xdr:oneCellAnchor>
    <xdr:from>
      <xdr:col>9</xdr:col>
      <xdr:colOff>438150</xdr:colOff>
      <xdr:row>58</xdr:row>
      <xdr:rowOff>209550</xdr:rowOff>
    </xdr:from>
    <xdr:ext cx="431721" cy="342786"/>
    <xdr:sp macro="" textlink="">
      <xdr:nvSpPr>
        <xdr:cNvPr id="28" name="TextBox 27"/>
        <xdr:cNvSpPr txBox="1"/>
      </xdr:nvSpPr>
      <xdr:spPr>
        <a:xfrm>
          <a:off x="8782050" y="12839700"/>
          <a:ext cx="43172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600">
              <a:solidFill>
                <a:srgbClr val="FF0000"/>
              </a:solidFill>
            </a:rPr>
            <a:t>c</a:t>
          </a:r>
          <a:r>
            <a:rPr lang="en-US" altLang="zh-CN" sz="1400">
              <a:solidFill>
                <a:srgbClr val="FF0000"/>
              </a:solidFill>
            </a:rPr>
            <a:t>/2</a:t>
          </a:r>
          <a:endParaRPr lang="zh-CN" altLang="en-US" sz="1400">
            <a:solidFill>
              <a:srgbClr val="FF0000"/>
            </a:solidFill>
          </a:endParaRPr>
        </a:p>
      </xdr:txBody>
    </xdr:sp>
    <xdr:clientData/>
  </xdr:oneCellAnchor>
  <xdr:oneCellAnchor>
    <xdr:from>
      <xdr:col>12</xdr:col>
      <xdr:colOff>228600</xdr:colOff>
      <xdr:row>58</xdr:row>
      <xdr:rowOff>66675</xdr:rowOff>
    </xdr:from>
    <xdr:ext cx="431721" cy="342786"/>
    <xdr:sp macro="" textlink="">
      <xdr:nvSpPr>
        <xdr:cNvPr id="29" name="TextBox 28"/>
        <xdr:cNvSpPr txBox="1"/>
      </xdr:nvSpPr>
      <xdr:spPr>
        <a:xfrm>
          <a:off x="10544175" y="12696825"/>
          <a:ext cx="43172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600">
              <a:solidFill>
                <a:srgbClr val="FF0000"/>
              </a:solidFill>
            </a:rPr>
            <a:t>c</a:t>
          </a:r>
          <a:r>
            <a:rPr lang="en-US" altLang="zh-CN" sz="1400">
              <a:solidFill>
                <a:srgbClr val="FF0000"/>
              </a:solidFill>
            </a:rPr>
            <a:t>/2</a:t>
          </a:r>
          <a:endParaRPr lang="zh-CN" altLang="en-US" sz="1400">
            <a:solidFill>
              <a:srgbClr val="FF0000"/>
            </a:solidFill>
          </a:endParaRPr>
        </a:p>
      </xdr:txBody>
    </xdr:sp>
    <xdr:clientData/>
  </xdr:oneCellAnchor>
  <xdr:twoCellAnchor editAs="oneCell">
    <xdr:from>
      <xdr:col>0</xdr:col>
      <xdr:colOff>19050</xdr:colOff>
      <xdr:row>57</xdr:row>
      <xdr:rowOff>1</xdr:rowOff>
    </xdr:from>
    <xdr:to>
      <xdr:col>2</xdr:col>
      <xdr:colOff>1089741</xdr:colOff>
      <xdr:row>69</xdr:row>
      <xdr:rowOff>76201</xdr:rowOff>
    </xdr:to>
    <xdr:pic>
      <xdr:nvPicPr>
        <xdr:cNvPr id="24587" name="Picture 11"/>
        <xdr:cNvPicPr>
          <a:picLocks noChangeAspect="1" noChangeArrowheads="1"/>
        </xdr:cNvPicPr>
      </xdr:nvPicPr>
      <xdr:blipFill>
        <a:blip xmlns:r="http://schemas.openxmlformats.org/officeDocument/2006/relationships" r:embed="rId4" cstate="print"/>
        <a:srcRect/>
        <a:stretch>
          <a:fillRect/>
        </a:stretch>
      </xdr:blipFill>
      <xdr:spPr bwMode="auto">
        <a:xfrm>
          <a:off x="19050" y="10896601"/>
          <a:ext cx="3756741" cy="3048000"/>
        </a:xfrm>
        <a:prstGeom prst="rect">
          <a:avLst/>
        </a:prstGeom>
        <a:noFill/>
        <a:ln w="1">
          <a:noFill/>
          <a:miter lim="800000"/>
          <a:headEnd/>
          <a:tailEnd type="none" w="med" len="med"/>
        </a:ln>
        <a:effectLst/>
      </xdr:spPr>
    </xdr:pic>
    <xdr:clientData/>
  </xdr:twoCellAnchor>
  <xdr:twoCellAnchor editAs="oneCell">
    <xdr:from>
      <xdr:col>12</xdr:col>
      <xdr:colOff>0</xdr:colOff>
      <xdr:row>54</xdr:row>
      <xdr:rowOff>104775</xdr:rowOff>
    </xdr:from>
    <xdr:to>
      <xdr:col>18</xdr:col>
      <xdr:colOff>561975</xdr:colOff>
      <xdr:row>57</xdr:row>
      <xdr:rowOff>209550</xdr:rowOff>
    </xdr:to>
    <xdr:pic>
      <xdr:nvPicPr>
        <xdr:cNvPr id="25" name="Picture 18"/>
        <xdr:cNvPicPr>
          <a:picLocks noChangeAspect="1" noChangeArrowheads="1"/>
        </xdr:cNvPicPr>
      </xdr:nvPicPr>
      <xdr:blipFill>
        <a:blip xmlns:r="http://schemas.openxmlformats.org/officeDocument/2006/relationships" r:embed="rId5" cstate="print"/>
        <a:srcRect/>
        <a:stretch>
          <a:fillRect/>
        </a:stretch>
      </xdr:blipFill>
      <xdr:spPr bwMode="auto">
        <a:xfrm>
          <a:off x="11172825" y="12487275"/>
          <a:ext cx="6858000" cy="847725"/>
        </a:xfrm>
        <a:prstGeom prst="rect">
          <a:avLst/>
        </a:prstGeom>
        <a:noFill/>
        <a:ln w="1">
          <a:noFill/>
          <a:miter lim="800000"/>
          <a:headEnd/>
          <a:tailEnd type="none" w="med" len="med"/>
        </a:ln>
        <a:effectLst/>
      </xdr:spPr>
    </xdr:pic>
    <xdr:clientData/>
  </xdr:twoCellAnchor>
  <xdr:twoCellAnchor editAs="oneCell">
    <xdr:from>
      <xdr:col>12</xdr:col>
      <xdr:colOff>0</xdr:colOff>
      <xdr:row>42</xdr:row>
      <xdr:rowOff>38100</xdr:rowOff>
    </xdr:from>
    <xdr:to>
      <xdr:col>18</xdr:col>
      <xdr:colOff>571500</xdr:colOff>
      <xdr:row>54</xdr:row>
      <xdr:rowOff>123825</xdr:rowOff>
    </xdr:to>
    <xdr:pic>
      <xdr:nvPicPr>
        <xdr:cNvPr id="24" name="Picture 17"/>
        <xdr:cNvPicPr>
          <a:picLocks noChangeAspect="1" noChangeArrowheads="1"/>
        </xdr:cNvPicPr>
      </xdr:nvPicPr>
      <xdr:blipFill>
        <a:blip xmlns:r="http://schemas.openxmlformats.org/officeDocument/2006/relationships" r:embed="rId6" cstate="print"/>
        <a:srcRect/>
        <a:stretch>
          <a:fillRect/>
        </a:stretch>
      </xdr:blipFill>
      <xdr:spPr bwMode="auto">
        <a:xfrm>
          <a:off x="11172825" y="9448800"/>
          <a:ext cx="6867525" cy="3057525"/>
        </a:xfrm>
        <a:prstGeom prst="rect">
          <a:avLst/>
        </a:prstGeom>
        <a:noFill/>
        <a:ln w="1">
          <a:noFill/>
          <a:miter lim="800000"/>
          <a:headEnd/>
          <a:tailEnd type="none" w="med" len="med"/>
        </a:ln>
        <a:effectLst/>
      </xdr:spPr>
    </xdr:pic>
    <xdr:clientData/>
  </xdr:twoCellAnchor>
  <xdr:twoCellAnchor editAs="oneCell">
    <xdr:from>
      <xdr:col>12</xdr:col>
      <xdr:colOff>0</xdr:colOff>
      <xdr:row>21</xdr:row>
      <xdr:rowOff>142875</xdr:rowOff>
    </xdr:from>
    <xdr:to>
      <xdr:col>18</xdr:col>
      <xdr:colOff>561975</xdr:colOff>
      <xdr:row>42</xdr:row>
      <xdr:rowOff>47625</xdr:rowOff>
    </xdr:to>
    <xdr:pic>
      <xdr:nvPicPr>
        <xdr:cNvPr id="23" name="Picture 16"/>
        <xdr:cNvPicPr>
          <a:picLocks noChangeAspect="1" noChangeArrowheads="1"/>
        </xdr:cNvPicPr>
      </xdr:nvPicPr>
      <xdr:blipFill>
        <a:blip xmlns:r="http://schemas.openxmlformats.org/officeDocument/2006/relationships" r:embed="rId7" cstate="print"/>
        <a:srcRect/>
        <a:stretch>
          <a:fillRect/>
        </a:stretch>
      </xdr:blipFill>
      <xdr:spPr bwMode="auto">
        <a:xfrm>
          <a:off x="11630025" y="5343525"/>
          <a:ext cx="6858000" cy="5105400"/>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7" name="五边形 16">
          <a:hlinkClick xmlns:r="http://schemas.openxmlformats.org/officeDocument/2006/relationships" r:id="rId8"/>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19050</xdr:colOff>
      <xdr:row>15</xdr:row>
      <xdr:rowOff>16249</xdr:rowOff>
    </xdr:from>
    <xdr:to>
      <xdr:col>13</xdr:col>
      <xdr:colOff>190500</xdr:colOff>
      <xdr:row>36</xdr:row>
      <xdr:rowOff>57150</xdr:rowOff>
    </xdr:to>
    <xdr:pic>
      <xdr:nvPicPr>
        <xdr:cNvPr id="2"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5734050" y="3292849"/>
          <a:ext cx="5429250" cy="3879476"/>
        </a:xfrm>
        <a:prstGeom prst="rect">
          <a:avLst/>
        </a:prstGeom>
        <a:noFill/>
        <a:ln w="1">
          <a:noFill/>
          <a:miter lim="800000"/>
          <a:headEnd/>
          <a:tailEnd type="none" w="med" len="med"/>
        </a:ln>
        <a:effectLst/>
      </xdr:spPr>
    </xdr:pic>
    <xdr:clientData/>
  </xdr:twoCellAnchor>
  <xdr:twoCellAnchor editAs="oneCell">
    <xdr:from>
      <xdr:col>5</xdr:col>
      <xdr:colOff>1</xdr:colOff>
      <xdr:row>43</xdr:row>
      <xdr:rowOff>0</xdr:rowOff>
    </xdr:from>
    <xdr:to>
      <xdr:col>16</xdr:col>
      <xdr:colOff>257176</xdr:colOff>
      <xdr:row>65</xdr:row>
      <xdr:rowOff>28575</xdr:rowOff>
    </xdr:to>
    <xdr:pic>
      <xdr:nvPicPr>
        <xdr:cNvPr id="3" name="Picture 6"/>
        <xdr:cNvPicPr>
          <a:picLocks noChangeAspect="1" noChangeArrowheads="1"/>
        </xdr:cNvPicPr>
      </xdr:nvPicPr>
      <xdr:blipFill>
        <a:blip xmlns:r="http://schemas.openxmlformats.org/officeDocument/2006/relationships" r:embed="rId2" cstate="print"/>
        <a:srcRect/>
        <a:stretch>
          <a:fillRect/>
        </a:stretch>
      </xdr:blipFill>
      <xdr:spPr bwMode="auto">
        <a:xfrm>
          <a:off x="5715001" y="8391525"/>
          <a:ext cx="7486650" cy="4010025"/>
        </a:xfrm>
        <a:prstGeom prst="rect">
          <a:avLst/>
        </a:prstGeom>
        <a:noFill/>
        <a:ln w="1">
          <a:noFill/>
          <a:miter lim="800000"/>
          <a:headEnd/>
          <a:tailEnd type="none" w="med" len="med"/>
        </a:ln>
        <a:effectLst/>
      </xdr:spPr>
    </xdr:pic>
    <xdr:clientData/>
  </xdr:twoCellAnchor>
  <xdr:twoCellAnchor>
    <xdr:from>
      <xdr:col>3</xdr:col>
      <xdr:colOff>1</xdr:colOff>
      <xdr:row>3</xdr:row>
      <xdr:rowOff>0</xdr:rowOff>
    </xdr:from>
    <xdr:to>
      <xdr:col>4</xdr:col>
      <xdr:colOff>0</xdr:colOff>
      <xdr:row>6</xdr:row>
      <xdr:rowOff>0</xdr:rowOff>
    </xdr:to>
    <xdr:grpSp>
      <xdr:nvGrpSpPr>
        <xdr:cNvPr id="4" name="Group 3"/>
        <xdr:cNvGrpSpPr>
          <a:grpSpLocks/>
        </xdr:cNvGrpSpPr>
      </xdr:nvGrpSpPr>
      <xdr:grpSpPr bwMode="auto">
        <a:xfrm>
          <a:off x="3943351" y="695325"/>
          <a:ext cx="1343024" cy="628650"/>
          <a:chOff x="0" y="0"/>
          <a:chExt cx="20000" cy="20000"/>
        </a:xfrm>
      </xdr:grpSpPr>
      <xdr:sp macro="" textlink="">
        <xdr:nvSpPr>
          <xdr:cNvPr id="5" name="Freeform 5"/>
          <xdr:cNvSpPr>
            <a:spLocks/>
          </xdr:cNvSpPr>
        </xdr:nvSpPr>
        <xdr:spPr bwMode="auto">
          <a:xfrm>
            <a:off x="0" y="0"/>
            <a:ext cx="20000" cy="20000"/>
          </a:xfrm>
          <a:custGeom>
            <a:avLst/>
            <a:gdLst>
              <a:gd name="T0" fmla="*/ 215 w 20000"/>
              <a:gd name="T1" fmla="*/ 0 h 20000"/>
              <a:gd name="T2" fmla="*/ 19989 w 20000"/>
              <a:gd name="T3" fmla="*/ 0 h 20000"/>
              <a:gd name="T4" fmla="*/ 16550 w 20000"/>
              <a:gd name="T5" fmla="*/ 19984 h 20000"/>
              <a:gd name="T6" fmla="*/ 4514 w 20000"/>
              <a:gd name="T7" fmla="*/ 19984 h 20000"/>
              <a:gd name="T8" fmla="*/ 0 w 20000"/>
              <a:gd name="T9" fmla="*/ 0 h 2000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0000" h="20000">
                <a:moveTo>
                  <a:pt x="215" y="0"/>
                </a:moveTo>
                <a:lnTo>
                  <a:pt x="19989" y="0"/>
                </a:lnTo>
                <a:lnTo>
                  <a:pt x="16550" y="19984"/>
                </a:lnTo>
                <a:lnTo>
                  <a:pt x="4514" y="19984"/>
                </a:lnTo>
                <a:lnTo>
                  <a:pt x="0" y="0"/>
                </a:lnTo>
              </a:path>
            </a:pathLst>
          </a:custGeom>
          <a:solidFill>
            <a:srgbClr val="FF0000"/>
          </a:solidFill>
          <a:ln w="9525" cap="flat" cmpd="sng">
            <a:solidFill>
              <a:srgbClr val="000000"/>
            </a:solidFill>
            <a:round/>
            <a:headEnd/>
            <a:tailEnd/>
          </a:ln>
          <a:effectLst/>
        </xdr:spPr>
        <xdr:txBody>
          <a:bodyPr wrap="square"/>
          <a:lstStyle>
            <a:defPPr>
              <a:defRPr lang="zh-CN"/>
            </a:defPPr>
            <a:lvl1pPr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1pPr>
            <a:lvl2pPr marL="4572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2pPr>
            <a:lvl3pPr marL="9144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3pPr>
            <a:lvl4pPr marL="13716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4pPr>
            <a:lvl5pPr marL="18288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5pPr>
            <a:lvl6pPr marL="2286000" algn="l" defTabSz="914400" rtl="0" eaLnBrk="1" latinLnBrk="0" hangingPunct="1">
              <a:defRPr sz="2400" kern="1200">
                <a:solidFill>
                  <a:schemeClr val="tx1"/>
                </a:solidFill>
                <a:latin typeface="Times New Roman" pitchFamily="18" charset="0"/>
                <a:ea typeface="宋体" pitchFamily="2" charset="-122"/>
                <a:cs typeface="+mn-cs"/>
              </a:defRPr>
            </a:lvl6pPr>
            <a:lvl7pPr marL="2743200" algn="l" defTabSz="914400" rtl="0" eaLnBrk="1" latinLnBrk="0" hangingPunct="1">
              <a:defRPr sz="2400" kern="1200">
                <a:solidFill>
                  <a:schemeClr val="tx1"/>
                </a:solidFill>
                <a:latin typeface="Times New Roman" pitchFamily="18" charset="0"/>
                <a:ea typeface="宋体" pitchFamily="2" charset="-122"/>
                <a:cs typeface="+mn-cs"/>
              </a:defRPr>
            </a:lvl7pPr>
            <a:lvl8pPr marL="3200400" algn="l" defTabSz="914400" rtl="0" eaLnBrk="1" latinLnBrk="0" hangingPunct="1">
              <a:defRPr sz="2400" kern="1200">
                <a:solidFill>
                  <a:schemeClr val="tx1"/>
                </a:solidFill>
                <a:latin typeface="Times New Roman" pitchFamily="18" charset="0"/>
                <a:ea typeface="宋体" pitchFamily="2" charset="-122"/>
                <a:cs typeface="+mn-cs"/>
              </a:defRPr>
            </a:lvl8pPr>
            <a:lvl9pPr marL="3657600" algn="l" defTabSz="914400" rtl="0" eaLnBrk="1" latinLnBrk="0" hangingPunct="1">
              <a:defRPr sz="2400" kern="1200">
                <a:solidFill>
                  <a:schemeClr val="tx1"/>
                </a:solidFill>
                <a:latin typeface="Times New Roman" pitchFamily="18" charset="0"/>
                <a:ea typeface="宋体" pitchFamily="2" charset="-122"/>
                <a:cs typeface="+mn-cs"/>
              </a:defRPr>
            </a:lvl9pPr>
          </a:lstStyle>
          <a:p>
            <a:endParaRPr lang="zh-CN" altLang="en-US"/>
          </a:p>
        </xdr:txBody>
      </xdr:sp>
      <xdr:sp macro="" textlink="">
        <xdr:nvSpPr>
          <xdr:cNvPr id="6" name="Freeform 6"/>
          <xdr:cNvSpPr>
            <a:spLocks/>
          </xdr:cNvSpPr>
        </xdr:nvSpPr>
        <xdr:spPr bwMode="auto">
          <a:xfrm>
            <a:off x="1075" y="4441"/>
            <a:ext cx="14411" cy="15242"/>
          </a:xfrm>
          <a:custGeom>
            <a:avLst/>
            <a:gdLst>
              <a:gd name="T0" fmla="*/ 215 w 20000"/>
              <a:gd name="T1" fmla="*/ 0 h 20000"/>
              <a:gd name="T2" fmla="*/ 14400 w 20000"/>
              <a:gd name="T3" fmla="*/ 0 h 20000"/>
              <a:gd name="T4" fmla="*/ 11821 w 20000"/>
              <a:gd name="T5" fmla="*/ 15226 h 20000"/>
              <a:gd name="T6" fmla="*/ 3439 w 20000"/>
              <a:gd name="T7" fmla="*/ 15226 h 20000"/>
              <a:gd name="T8" fmla="*/ 0 w 20000"/>
              <a:gd name="T9" fmla="*/ 0 h 2000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0000" h="20000">
                <a:moveTo>
                  <a:pt x="298" y="0"/>
                </a:moveTo>
                <a:lnTo>
                  <a:pt x="19985" y="0"/>
                </a:lnTo>
                <a:lnTo>
                  <a:pt x="16406" y="19979"/>
                </a:lnTo>
                <a:lnTo>
                  <a:pt x="4773" y="19979"/>
                </a:lnTo>
                <a:lnTo>
                  <a:pt x="0" y="0"/>
                </a:lnTo>
              </a:path>
            </a:pathLst>
          </a:custGeom>
          <a:solidFill>
            <a:srgbClr val="FFFF00"/>
          </a:solidFill>
          <a:ln w="9525" cap="flat" cmpd="sng">
            <a:solidFill>
              <a:srgbClr val="000000"/>
            </a:solidFill>
            <a:round/>
            <a:headEnd/>
            <a:tailEnd/>
          </a:ln>
          <a:effectLst/>
        </xdr:spPr>
        <xdr:txBody>
          <a:bodyPr wrap="square"/>
          <a:lstStyle>
            <a:defPPr>
              <a:defRPr lang="zh-CN"/>
            </a:defPPr>
            <a:lvl1pPr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1pPr>
            <a:lvl2pPr marL="4572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2pPr>
            <a:lvl3pPr marL="9144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3pPr>
            <a:lvl4pPr marL="13716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4pPr>
            <a:lvl5pPr marL="18288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5pPr>
            <a:lvl6pPr marL="2286000" algn="l" defTabSz="914400" rtl="0" eaLnBrk="1" latinLnBrk="0" hangingPunct="1">
              <a:defRPr sz="2400" kern="1200">
                <a:solidFill>
                  <a:schemeClr val="tx1"/>
                </a:solidFill>
                <a:latin typeface="Times New Roman" pitchFamily="18" charset="0"/>
                <a:ea typeface="宋体" pitchFamily="2" charset="-122"/>
                <a:cs typeface="+mn-cs"/>
              </a:defRPr>
            </a:lvl6pPr>
            <a:lvl7pPr marL="2743200" algn="l" defTabSz="914400" rtl="0" eaLnBrk="1" latinLnBrk="0" hangingPunct="1">
              <a:defRPr sz="2400" kern="1200">
                <a:solidFill>
                  <a:schemeClr val="tx1"/>
                </a:solidFill>
                <a:latin typeface="Times New Roman" pitchFamily="18" charset="0"/>
                <a:ea typeface="宋体" pitchFamily="2" charset="-122"/>
                <a:cs typeface="+mn-cs"/>
              </a:defRPr>
            </a:lvl7pPr>
            <a:lvl8pPr marL="3200400" algn="l" defTabSz="914400" rtl="0" eaLnBrk="1" latinLnBrk="0" hangingPunct="1">
              <a:defRPr sz="2400" kern="1200">
                <a:solidFill>
                  <a:schemeClr val="tx1"/>
                </a:solidFill>
                <a:latin typeface="Times New Roman" pitchFamily="18" charset="0"/>
                <a:ea typeface="宋体" pitchFamily="2" charset="-122"/>
                <a:cs typeface="+mn-cs"/>
              </a:defRPr>
            </a:lvl8pPr>
            <a:lvl9pPr marL="3657600" algn="l" defTabSz="914400" rtl="0" eaLnBrk="1" latinLnBrk="0" hangingPunct="1">
              <a:defRPr sz="2400" kern="1200">
                <a:solidFill>
                  <a:schemeClr val="tx1"/>
                </a:solidFill>
                <a:latin typeface="Times New Roman" pitchFamily="18" charset="0"/>
                <a:ea typeface="宋体" pitchFamily="2" charset="-122"/>
                <a:cs typeface="+mn-cs"/>
              </a:defRPr>
            </a:lvl9pPr>
          </a:lstStyle>
          <a:p>
            <a:endParaRPr lang="zh-CN" altLang="en-US"/>
          </a:p>
        </xdr:txBody>
      </xdr:sp>
      <xdr:sp macro="" textlink="">
        <xdr:nvSpPr>
          <xdr:cNvPr id="7" name="Freeform 7"/>
          <xdr:cNvSpPr>
            <a:spLocks/>
          </xdr:cNvSpPr>
        </xdr:nvSpPr>
        <xdr:spPr bwMode="auto">
          <a:xfrm>
            <a:off x="2364" y="9833"/>
            <a:ext cx="9253" cy="10167"/>
          </a:xfrm>
          <a:custGeom>
            <a:avLst/>
            <a:gdLst>
              <a:gd name="T0" fmla="*/ 0 w 20000"/>
              <a:gd name="T1" fmla="*/ 0 h 20000"/>
              <a:gd name="T2" fmla="*/ 9242 w 20000"/>
              <a:gd name="T3" fmla="*/ 0 h 20000"/>
              <a:gd name="T4" fmla="*/ 7738 w 20000"/>
              <a:gd name="T5" fmla="*/ 10151 h 20000"/>
              <a:gd name="T6" fmla="*/ 2149 w 20000"/>
              <a:gd name="T7" fmla="*/ 10151 h 20000"/>
              <a:gd name="T8" fmla="*/ 0 w 20000"/>
              <a:gd name="T9" fmla="*/ 0 h 2000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0000" h="20000">
                <a:moveTo>
                  <a:pt x="0" y="0"/>
                </a:moveTo>
                <a:lnTo>
                  <a:pt x="19977" y="0"/>
                </a:lnTo>
                <a:lnTo>
                  <a:pt x="16725" y="19969"/>
                </a:lnTo>
                <a:lnTo>
                  <a:pt x="4646" y="19969"/>
                </a:lnTo>
                <a:lnTo>
                  <a:pt x="0" y="0"/>
                </a:lnTo>
                <a:close/>
              </a:path>
            </a:pathLst>
          </a:custGeom>
          <a:solidFill>
            <a:srgbClr val="00FF00"/>
          </a:solidFill>
          <a:ln w="9525" cap="flat" cmpd="sng">
            <a:solidFill>
              <a:srgbClr val="000000"/>
            </a:solidFill>
            <a:round/>
            <a:headEnd/>
            <a:tailEnd/>
          </a:ln>
          <a:effectLst/>
        </xdr:spPr>
        <xdr:txBody>
          <a:bodyPr wrap="square"/>
          <a:lstStyle>
            <a:defPPr>
              <a:defRPr lang="zh-CN"/>
            </a:defPPr>
            <a:lvl1pPr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1pPr>
            <a:lvl2pPr marL="4572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2pPr>
            <a:lvl3pPr marL="9144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3pPr>
            <a:lvl4pPr marL="13716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4pPr>
            <a:lvl5pPr marL="18288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5pPr>
            <a:lvl6pPr marL="2286000" algn="l" defTabSz="914400" rtl="0" eaLnBrk="1" latinLnBrk="0" hangingPunct="1">
              <a:defRPr sz="2400" kern="1200">
                <a:solidFill>
                  <a:schemeClr val="tx1"/>
                </a:solidFill>
                <a:latin typeface="Times New Roman" pitchFamily="18" charset="0"/>
                <a:ea typeface="宋体" pitchFamily="2" charset="-122"/>
                <a:cs typeface="+mn-cs"/>
              </a:defRPr>
            </a:lvl6pPr>
            <a:lvl7pPr marL="2743200" algn="l" defTabSz="914400" rtl="0" eaLnBrk="1" latinLnBrk="0" hangingPunct="1">
              <a:defRPr sz="2400" kern="1200">
                <a:solidFill>
                  <a:schemeClr val="tx1"/>
                </a:solidFill>
                <a:latin typeface="Times New Roman" pitchFamily="18" charset="0"/>
                <a:ea typeface="宋体" pitchFamily="2" charset="-122"/>
                <a:cs typeface="+mn-cs"/>
              </a:defRPr>
            </a:lvl7pPr>
            <a:lvl8pPr marL="3200400" algn="l" defTabSz="914400" rtl="0" eaLnBrk="1" latinLnBrk="0" hangingPunct="1">
              <a:defRPr sz="2400" kern="1200">
                <a:solidFill>
                  <a:schemeClr val="tx1"/>
                </a:solidFill>
                <a:latin typeface="Times New Roman" pitchFamily="18" charset="0"/>
                <a:ea typeface="宋体" pitchFamily="2" charset="-122"/>
                <a:cs typeface="+mn-cs"/>
              </a:defRPr>
            </a:lvl8pPr>
            <a:lvl9pPr marL="3657600" algn="l" defTabSz="914400" rtl="0" eaLnBrk="1" latinLnBrk="0" hangingPunct="1">
              <a:defRPr sz="2400" kern="1200">
                <a:solidFill>
                  <a:schemeClr val="tx1"/>
                </a:solidFill>
                <a:latin typeface="Times New Roman" pitchFamily="18" charset="0"/>
                <a:ea typeface="宋体" pitchFamily="2" charset="-122"/>
                <a:cs typeface="+mn-cs"/>
              </a:defRPr>
            </a:lvl9pPr>
          </a:lstStyle>
          <a:p>
            <a:endParaRPr lang="zh-CN" altLang="en-US"/>
          </a:p>
        </xdr:txBody>
      </xdr:sp>
      <xdr:sp macro="" textlink="">
        <xdr:nvSpPr>
          <xdr:cNvPr id="8" name="Freeform 8"/>
          <xdr:cNvSpPr>
            <a:spLocks/>
          </xdr:cNvSpPr>
        </xdr:nvSpPr>
        <xdr:spPr bwMode="auto">
          <a:xfrm>
            <a:off x="3224" y="13957"/>
            <a:ext cx="5384" cy="6043"/>
          </a:xfrm>
          <a:custGeom>
            <a:avLst/>
            <a:gdLst>
              <a:gd name="T0" fmla="*/ 0 w 20000"/>
              <a:gd name="T1" fmla="*/ 0 h 20000"/>
              <a:gd name="T2" fmla="*/ 5373 w 20000"/>
              <a:gd name="T3" fmla="*/ 0 h 20000"/>
              <a:gd name="T4" fmla="*/ 4513 w 20000"/>
              <a:gd name="T5" fmla="*/ 6027 h 20000"/>
              <a:gd name="T6" fmla="*/ 1289 w 20000"/>
              <a:gd name="T7" fmla="*/ 6027 h 20000"/>
              <a:gd name="T8" fmla="*/ 0 w 20000"/>
              <a:gd name="T9" fmla="*/ 317 h 2000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0000" h="20000">
                <a:moveTo>
                  <a:pt x="0" y="0"/>
                </a:moveTo>
                <a:lnTo>
                  <a:pt x="19960" y="0"/>
                </a:lnTo>
                <a:lnTo>
                  <a:pt x="16766" y="19948"/>
                </a:lnTo>
                <a:lnTo>
                  <a:pt x="4790" y="19948"/>
                </a:lnTo>
                <a:lnTo>
                  <a:pt x="0" y="1050"/>
                </a:lnTo>
              </a:path>
            </a:pathLst>
          </a:custGeom>
          <a:solidFill>
            <a:srgbClr val="00FFFF"/>
          </a:solidFill>
          <a:ln w="9525" cap="flat" cmpd="sng">
            <a:solidFill>
              <a:srgbClr val="000000"/>
            </a:solidFill>
            <a:round/>
            <a:headEnd/>
            <a:tailEnd/>
          </a:ln>
          <a:effectLst/>
        </xdr:spPr>
        <xdr:txBody>
          <a:bodyPr wrap="square"/>
          <a:lstStyle>
            <a:defPPr>
              <a:defRPr lang="zh-CN"/>
            </a:defPPr>
            <a:lvl1pPr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1pPr>
            <a:lvl2pPr marL="4572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2pPr>
            <a:lvl3pPr marL="9144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3pPr>
            <a:lvl4pPr marL="13716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4pPr>
            <a:lvl5pPr marL="18288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5pPr>
            <a:lvl6pPr marL="2286000" algn="l" defTabSz="914400" rtl="0" eaLnBrk="1" latinLnBrk="0" hangingPunct="1">
              <a:defRPr sz="2400" kern="1200">
                <a:solidFill>
                  <a:schemeClr val="tx1"/>
                </a:solidFill>
                <a:latin typeface="Times New Roman" pitchFamily="18" charset="0"/>
                <a:ea typeface="宋体" pitchFamily="2" charset="-122"/>
                <a:cs typeface="+mn-cs"/>
              </a:defRPr>
            </a:lvl6pPr>
            <a:lvl7pPr marL="2743200" algn="l" defTabSz="914400" rtl="0" eaLnBrk="1" latinLnBrk="0" hangingPunct="1">
              <a:defRPr sz="2400" kern="1200">
                <a:solidFill>
                  <a:schemeClr val="tx1"/>
                </a:solidFill>
                <a:latin typeface="Times New Roman" pitchFamily="18" charset="0"/>
                <a:ea typeface="宋体" pitchFamily="2" charset="-122"/>
                <a:cs typeface="+mn-cs"/>
              </a:defRPr>
            </a:lvl7pPr>
            <a:lvl8pPr marL="3200400" algn="l" defTabSz="914400" rtl="0" eaLnBrk="1" latinLnBrk="0" hangingPunct="1">
              <a:defRPr sz="2400" kern="1200">
                <a:solidFill>
                  <a:schemeClr val="tx1"/>
                </a:solidFill>
                <a:latin typeface="Times New Roman" pitchFamily="18" charset="0"/>
                <a:ea typeface="宋体" pitchFamily="2" charset="-122"/>
                <a:cs typeface="+mn-cs"/>
              </a:defRPr>
            </a:lvl8pPr>
            <a:lvl9pPr marL="3657600" algn="l" defTabSz="914400" rtl="0" eaLnBrk="1" latinLnBrk="0" hangingPunct="1">
              <a:defRPr sz="2400" kern="1200">
                <a:solidFill>
                  <a:schemeClr val="tx1"/>
                </a:solidFill>
                <a:latin typeface="Times New Roman" pitchFamily="18" charset="0"/>
                <a:ea typeface="宋体" pitchFamily="2" charset="-122"/>
                <a:cs typeface="+mn-cs"/>
              </a:defRPr>
            </a:lvl9pPr>
          </a:lstStyle>
          <a:p>
            <a:endParaRPr lang="zh-CN" altLang="en-US"/>
          </a:p>
        </xdr:txBody>
      </xdr:sp>
      <xdr:sp macro="" textlink="">
        <xdr:nvSpPr>
          <xdr:cNvPr id="9" name="Rectangle 9"/>
          <xdr:cNvSpPr>
            <a:spLocks noChangeArrowheads="1"/>
          </xdr:cNvSpPr>
        </xdr:nvSpPr>
        <xdr:spPr bwMode="auto">
          <a:xfrm>
            <a:off x="8598" y="10178"/>
            <a:ext cx="3019" cy="4096"/>
          </a:xfrm>
          <a:prstGeom prst="rect">
            <a:avLst/>
          </a:prstGeom>
          <a:noFill/>
          <a:ln w="9525">
            <a:noFill/>
            <a:miter lim="800000"/>
            <a:headEnd/>
            <a:tailEnd/>
          </a:ln>
          <a:effectLst/>
        </xdr:spPr>
        <xdr:txBody>
          <a:bodyPr wrap="square" lIns="12700" tIns="12700" rIns="12700" bIns="12700"/>
          <a:lstStyle>
            <a:defPPr>
              <a:defRPr lang="zh-CN"/>
            </a:defPPr>
            <a:lvl1pPr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1pPr>
            <a:lvl2pPr marL="4572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2pPr>
            <a:lvl3pPr marL="9144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3pPr>
            <a:lvl4pPr marL="13716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4pPr>
            <a:lvl5pPr marL="18288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5pPr>
            <a:lvl6pPr marL="2286000" algn="l" defTabSz="914400" rtl="0" eaLnBrk="1" latinLnBrk="0" hangingPunct="1">
              <a:defRPr sz="2400" kern="1200">
                <a:solidFill>
                  <a:schemeClr val="tx1"/>
                </a:solidFill>
                <a:latin typeface="Times New Roman" pitchFamily="18" charset="0"/>
                <a:ea typeface="宋体" pitchFamily="2" charset="-122"/>
                <a:cs typeface="+mn-cs"/>
              </a:defRPr>
            </a:lvl6pPr>
            <a:lvl7pPr marL="2743200" algn="l" defTabSz="914400" rtl="0" eaLnBrk="1" latinLnBrk="0" hangingPunct="1">
              <a:defRPr sz="2400" kern="1200">
                <a:solidFill>
                  <a:schemeClr val="tx1"/>
                </a:solidFill>
                <a:latin typeface="Times New Roman" pitchFamily="18" charset="0"/>
                <a:ea typeface="宋体" pitchFamily="2" charset="-122"/>
                <a:cs typeface="+mn-cs"/>
              </a:defRPr>
            </a:lvl7pPr>
            <a:lvl8pPr marL="3200400" algn="l" defTabSz="914400" rtl="0" eaLnBrk="1" latinLnBrk="0" hangingPunct="1">
              <a:defRPr sz="2400" kern="1200">
                <a:solidFill>
                  <a:schemeClr val="tx1"/>
                </a:solidFill>
                <a:latin typeface="Times New Roman" pitchFamily="18" charset="0"/>
                <a:ea typeface="宋体" pitchFamily="2" charset="-122"/>
                <a:cs typeface="+mn-cs"/>
              </a:defRPr>
            </a:lvl8pPr>
            <a:lvl9pPr marL="3657600" algn="l" defTabSz="914400" rtl="0" eaLnBrk="1" latinLnBrk="0" hangingPunct="1">
              <a:defRPr sz="2400" kern="1200">
                <a:solidFill>
                  <a:schemeClr val="tx1"/>
                </a:solidFill>
                <a:latin typeface="Times New Roman" pitchFamily="18" charset="0"/>
                <a:ea typeface="宋体" pitchFamily="2" charset="-122"/>
                <a:cs typeface="+mn-cs"/>
              </a:defRPr>
            </a:lvl9pPr>
          </a:lstStyle>
          <a:p>
            <a:pPr algn="just"/>
            <a:r>
              <a:rPr lang="en-US" altLang="zh-CN" sz="1400" baseline="0"/>
              <a:t>Z</a:t>
            </a:r>
          </a:p>
        </xdr:txBody>
      </xdr:sp>
      <xdr:sp macro="" textlink="">
        <xdr:nvSpPr>
          <xdr:cNvPr id="10" name="Rectangle 10"/>
          <xdr:cNvSpPr>
            <a:spLocks noChangeArrowheads="1"/>
          </xdr:cNvSpPr>
        </xdr:nvSpPr>
        <xdr:spPr bwMode="auto">
          <a:xfrm>
            <a:off x="12519" y="5680"/>
            <a:ext cx="2752" cy="4153"/>
          </a:xfrm>
          <a:prstGeom prst="rect">
            <a:avLst/>
          </a:prstGeom>
          <a:noFill/>
          <a:ln w="9525">
            <a:noFill/>
            <a:miter lim="800000"/>
            <a:headEnd/>
            <a:tailEnd/>
          </a:ln>
          <a:effectLst/>
        </xdr:spPr>
        <xdr:txBody>
          <a:bodyPr wrap="square" lIns="12700" tIns="12700" rIns="12700" bIns="12700"/>
          <a:lstStyle>
            <a:defPPr>
              <a:defRPr lang="zh-CN"/>
            </a:defPPr>
            <a:lvl1pPr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1pPr>
            <a:lvl2pPr marL="4572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2pPr>
            <a:lvl3pPr marL="9144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3pPr>
            <a:lvl4pPr marL="13716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4pPr>
            <a:lvl5pPr marL="18288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5pPr>
            <a:lvl6pPr marL="2286000" algn="l" defTabSz="914400" rtl="0" eaLnBrk="1" latinLnBrk="0" hangingPunct="1">
              <a:defRPr sz="2400" kern="1200">
                <a:solidFill>
                  <a:schemeClr val="tx1"/>
                </a:solidFill>
                <a:latin typeface="Times New Roman" pitchFamily="18" charset="0"/>
                <a:ea typeface="宋体" pitchFamily="2" charset="-122"/>
                <a:cs typeface="+mn-cs"/>
              </a:defRPr>
            </a:lvl6pPr>
            <a:lvl7pPr marL="2743200" algn="l" defTabSz="914400" rtl="0" eaLnBrk="1" latinLnBrk="0" hangingPunct="1">
              <a:defRPr sz="2400" kern="1200">
                <a:solidFill>
                  <a:schemeClr val="tx1"/>
                </a:solidFill>
                <a:latin typeface="Times New Roman" pitchFamily="18" charset="0"/>
                <a:ea typeface="宋体" pitchFamily="2" charset="-122"/>
                <a:cs typeface="+mn-cs"/>
              </a:defRPr>
            </a:lvl7pPr>
            <a:lvl8pPr marL="3200400" algn="l" defTabSz="914400" rtl="0" eaLnBrk="1" latinLnBrk="0" hangingPunct="1">
              <a:defRPr sz="2400" kern="1200">
                <a:solidFill>
                  <a:schemeClr val="tx1"/>
                </a:solidFill>
                <a:latin typeface="Times New Roman" pitchFamily="18" charset="0"/>
                <a:ea typeface="宋体" pitchFamily="2" charset="-122"/>
                <a:cs typeface="+mn-cs"/>
              </a:defRPr>
            </a:lvl8pPr>
            <a:lvl9pPr marL="3657600" algn="l" defTabSz="914400" rtl="0" eaLnBrk="1" latinLnBrk="0" hangingPunct="1">
              <a:defRPr sz="2400" kern="1200">
                <a:solidFill>
                  <a:schemeClr val="tx1"/>
                </a:solidFill>
                <a:latin typeface="Times New Roman" pitchFamily="18" charset="0"/>
                <a:ea typeface="宋体" pitchFamily="2" charset="-122"/>
                <a:cs typeface="+mn-cs"/>
              </a:defRPr>
            </a:lvl9pPr>
          </a:lstStyle>
          <a:p>
            <a:pPr algn="just"/>
            <a:r>
              <a:rPr lang="en-US" altLang="zh-CN" sz="1400"/>
              <a:t>A</a:t>
            </a:r>
          </a:p>
        </xdr:txBody>
      </xdr:sp>
      <xdr:sp macro="" textlink="">
        <xdr:nvSpPr>
          <xdr:cNvPr id="11" name="Rectangle 11"/>
          <xdr:cNvSpPr>
            <a:spLocks noChangeArrowheads="1"/>
          </xdr:cNvSpPr>
        </xdr:nvSpPr>
        <xdr:spPr bwMode="auto">
          <a:xfrm>
            <a:off x="5261" y="13393"/>
            <a:ext cx="3019" cy="4920"/>
          </a:xfrm>
          <a:prstGeom prst="rect">
            <a:avLst/>
          </a:prstGeom>
          <a:noFill/>
          <a:ln w="9525">
            <a:noFill/>
            <a:miter lim="800000"/>
            <a:headEnd/>
            <a:tailEnd/>
          </a:ln>
          <a:effectLst/>
        </xdr:spPr>
        <xdr:txBody>
          <a:bodyPr wrap="square" lIns="12700" tIns="12700" rIns="12700" bIns="12700"/>
          <a:lstStyle>
            <a:defPPr>
              <a:defRPr lang="zh-CN"/>
            </a:defPPr>
            <a:lvl1pPr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1pPr>
            <a:lvl2pPr marL="4572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2pPr>
            <a:lvl3pPr marL="9144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3pPr>
            <a:lvl4pPr marL="13716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4pPr>
            <a:lvl5pPr marL="1828800" algn="l" rtl="0" eaLnBrk="0" fontAlgn="base" hangingPunct="0">
              <a:spcBef>
                <a:spcPct val="0"/>
              </a:spcBef>
              <a:spcAft>
                <a:spcPct val="0"/>
              </a:spcAft>
              <a:defRPr sz="2400" kern="1200">
                <a:solidFill>
                  <a:schemeClr val="tx1"/>
                </a:solidFill>
                <a:latin typeface="Times New Roman" pitchFamily="18" charset="0"/>
                <a:ea typeface="宋体" pitchFamily="2" charset="-122"/>
                <a:cs typeface="+mn-cs"/>
              </a:defRPr>
            </a:lvl5pPr>
            <a:lvl6pPr marL="2286000" algn="l" defTabSz="914400" rtl="0" eaLnBrk="1" latinLnBrk="0" hangingPunct="1">
              <a:defRPr sz="2400" kern="1200">
                <a:solidFill>
                  <a:schemeClr val="tx1"/>
                </a:solidFill>
                <a:latin typeface="Times New Roman" pitchFamily="18" charset="0"/>
                <a:ea typeface="宋体" pitchFamily="2" charset="-122"/>
                <a:cs typeface="+mn-cs"/>
              </a:defRPr>
            </a:lvl6pPr>
            <a:lvl7pPr marL="2743200" algn="l" defTabSz="914400" rtl="0" eaLnBrk="1" latinLnBrk="0" hangingPunct="1">
              <a:defRPr sz="2400" kern="1200">
                <a:solidFill>
                  <a:schemeClr val="tx1"/>
                </a:solidFill>
                <a:latin typeface="Times New Roman" pitchFamily="18" charset="0"/>
                <a:ea typeface="宋体" pitchFamily="2" charset="-122"/>
                <a:cs typeface="+mn-cs"/>
              </a:defRPr>
            </a:lvl7pPr>
            <a:lvl8pPr marL="3200400" algn="l" defTabSz="914400" rtl="0" eaLnBrk="1" latinLnBrk="0" hangingPunct="1">
              <a:defRPr sz="2400" kern="1200">
                <a:solidFill>
                  <a:schemeClr val="tx1"/>
                </a:solidFill>
                <a:latin typeface="Times New Roman" pitchFamily="18" charset="0"/>
                <a:ea typeface="宋体" pitchFamily="2" charset="-122"/>
                <a:cs typeface="+mn-cs"/>
              </a:defRPr>
            </a:lvl8pPr>
            <a:lvl9pPr marL="3657600" algn="l" defTabSz="914400" rtl="0" eaLnBrk="1" latinLnBrk="0" hangingPunct="1">
              <a:defRPr sz="2400" kern="1200">
                <a:solidFill>
                  <a:schemeClr val="tx1"/>
                </a:solidFill>
                <a:latin typeface="Times New Roman" pitchFamily="18" charset="0"/>
                <a:ea typeface="宋体" pitchFamily="2" charset="-122"/>
                <a:cs typeface="+mn-cs"/>
              </a:defRPr>
            </a:lvl9pPr>
          </a:lstStyle>
          <a:p>
            <a:pPr algn="just"/>
            <a:r>
              <a:rPr lang="en-US" altLang="zh-CN" sz="1400" baseline="0"/>
              <a:t>Y</a:t>
            </a:r>
          </a:p>
        </xdr:txBody>
      </xdr:sp>
    </xdr:grpSp>
    <xdr:clientData/>
  </xdr:twoCellAnchor>
  <xdr:twoCellAnchor editAs="oneCell">
    <xdr:from>
      <xdr:col>0</xdr:col>
      <xdr:colOff>2</xdr:colOff>
      <xdr:row>57</xdr:row>
      <xdr:rowOff>43922</xdr:rowOff>
    </xdr:from>
    <xdr:to>
      <xdr:col>3</xdr:col>
      <xdr:colOff>1323975</xdr:colOff>
      <xdr:row>85</xdr:row>
      <xdr:rowOff>19051</xdr:rowOff>
    </xdr:to>
    <xdr:pic>
      <xdr:nvPicPr>
        <xdr:cNvPr id="13" name="Picture 22"/>
        <xdr:cNvPicPr>
          <a:picLocks noChangeAspect="1" noChangeArrowheads="1"/>
        </xdr:cNvPicPr>
      </xdr:nvPicPr>
      <xdr:blipFill>
        <a:blip xmlns:r="http://schemas.openxmlformats.org/officeDocument/2006/relationships" r:embed="rId3" cstate="print"/>
        <a:srcRect/>
        <a:stretch>
          <a:fillRect/>
        </a:stretch>
      </xdr:blipFill>
      <xdr:spPr bwMode="auto">
        <a:xfrm>
          <a:off x="2" y="10969097"/>
          <a:ext cx="5267323" cy="5071004"/>
        </a:xfrm>
        <a:prstGeom prst="rect">
          <a:avLst/>
        </a:prstGeom>
        <a:noFill/>
        <a:ln w="1">
          <a:noFill/>
          <a:miter lim="800000"/>
          <a:headEnd/>
          <a:tailEnd type="none" w="med" len="med"/>
        </a:ln>
        <a:effectLst/>
      </xdr:spPr>
    </xdr:pic>
    <xdr:clientData/>
  </xdr:twoCellAnchor>
  <xdr:twoCellAnchor editAs="oneCell">
    <xdr:from>
      <xdr:col>0</xdr:col>
      <xdr:colOff>0</xdr:colOff>
      <xdr:row>41</xdr:row>
      <xdr:rowOff>1</xdr:rowOff>
    </xdr:from>
    <xdr:to>
      <xdr:col>4</xdr:col>
      <xdr:colOff>0</xdr:colOff>
      <xdr:row>57</xdr:row>
      <xdr:rowOff>9525</xdr:rowOff>
    </xdr:to>
    <xdr:pic>
      <xdr:nvPicPr>
        <xdr:cNvPr id="7176" name="Picture 8"/>
        <xdr:cNvPicPr>
          <a:picLocks noChangeAspect="1" noChangeArrowheads="1"/>
        </xdr:cNvPicPr>
      </xdr:nvPicPr>
      <xdr:blipFill>
        <a:blip xmlns:r="http://schemas.openxmlformats.org/officeDocument/2006/relationships" r:embed="rId4" cstate="print"/>
        <a:srcRect/>
        <a:stretch>
          <a:fillRect/>
        </a:stretch>
      </xdr:blipFill>
      <xdr:spPr bwMode="auto">
        <a:xfrm>
          <a:off x="0" y="8029576"/>
          <a:ext cx="5286375" cy="2905124"/>
        </a:xfrm>
        <a:prstGeom prst="rect">
          <a:avLst/>
        </a:prstGeom>
        <a:noFill/>
        <a:ln w="1">
          <a:noFill/>
          <a:miter lim="800000"/>
          <a:headEnd/>
          <a:tailEnd type="none" w="med" len="med"/>
        </a:ln>
        <a:effectLst/>
      </xdr:spPr>
    </xdr:pic>
    <xdr:clientData/>
  </xdr:twoCellAnchor>
  <xdr:twoCellAnchor>
    <xdr:from>
      <xdr:col>0</xdr:col>
      <xdr:colOff>19050</xdr:colOff>
      <xdr:row>0</xdr:row>
      <xdr:rowOff>19050</xdr:rowOff>
    </xdr:from>
    <xdr:to>
      <xdr:col>0</xdr:col>
      <xdr:colOff>828676</xdr:colOff>
      <xdr:row>0</xdr:row>
      <xdr:rowOff>257175</xdr:rowOff>
    </xdr:to>
    <xdr:sp macro="" textlink="">
      <xdr:nvSpPr>
        <xdr:cNvPr id="14" name="五边形 13">
          <a:hlinkClick xmlns:r="http://schemas.openxmlformats.org/officeDocument/2006/relationships" r:id="rId5"/>
        </xdr:cNvPr>
        <xdr:cNvSpPr/>
      </xdr:nvSpPr>
      <xdr:spPr>
        <a:xfrm flipH="1">
          <a:off x="19050"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19051</xdr:colOff>
      <xdr:row>3</xdr:row>
      <xdr:rowOff>19050</xdr:rowOff>
    </xdr:from>
    <xdr:to>
      <xdr:col>3</xdr:col>
      <xdr:colOff>1333500</xdr:colOff>
      <xdr:row>6</xdr:row>
      <xdr:rowOff>200025</xdr:rowOff>
    </xdr:to>
    <xdr:pic>
      <xdr:nvPicPr>
        <xdr:cNvPr id="9227" name="Picture 11"/>
        <xdr:cNvPicPr>
          <a:picLocks noChangeAspect="1" noChangeArrowheads="1"/>
        </xdr:cNvPicPr>
      </xdr:nvPicPr>
      <xdr:blipFill>
        <a:blip xmlns:r="http://schemas.openxmlformats.org/officeDocument/2006/relationships" r:embed="rId1" cstate="print"/>
        <a:srcRect/>
        <a:stretch>
          <a:fillRect/>
        </a:stretch>
      </xdr:blipFill>
      <xdr:spPr bwMode="auto">
        <a:xfrm>
          <a:off x="3962401" y="781050"/>
          <a:ext cx="1314449" cy="809625"/>
        </a:xfrm>
        <a:prstGeom prst="rect">
          <a:avLst/>
        </a:prstGeom>
        <a:noFill/>
        <a:ln w="1">
          <a:noFill/>
          <a:miter lim="800000"/>
          <a:headEnd/>
          <a:tailEnd type="none" w="med" len="med"/>
        </a:ln>
        <a:effectLst/>
      </xdr:spPr>
    </xdr:pic>
    <xdr:clientData/>
  </xdr:twoCellAnchor>
  <xdr:twoCellAnchor editAs="oneCell">
    <xdr:from>
      <xdr:col>18</xdr:col>
      <xdr:colOff>647700</xdr:colOff>
      <xdr:row>52</xdr:row>
      <xdr:rowOff>0</xdr:rowOff>
    </xdr:from>
    <xdr:to>
      <xdr:col>26</xdr:col>
      <xdr:colOff>285750</xdr:colOff>
      <xdr:row>83</xdr:row>
      <xdr:rowOff>0</xdr:rowOff>
    </xdr:to>
    <xdr:pic>
      <xdr:nvPicPr>
        <xdr:cNvPr id="9237" name="Picture 21"/>
        <xdr:cNvPicPr>
          <a:picLocks noChangeAspect="1" noChangeArrowheads="1"/>
        </xdr:cNvPicPr>
      </xdr:nvPicPr>
      <xdr:blipFill>
        <a:blip xmlns:r="http://schemas.openxmlformats.org/officeDocument/2006/relationships" r:embed="rId2" cstate="print"/>
        <a:srcRect/>
        <a:stretch>
          <a:fillRect/>
        </a:stretch>
      </xdr:blipFill>
      <xdr:spPr bwMode="auto">
        <a:xfrm>
          <a:off x="14906625" y="10706100"/>
          <a:ext cx="6496050" cy="5800725"/>
        </a:xfrm>
        <a:prstGeom prst="rect">
          <a:avLst/>
        </a:prstGeom>
        <a:noFill/>
        <a:ln w="1">
          <a:noFill/>
          <a:miter lim="800000"/>
          <a:headEnd/>
          <a:tailEnd type="none" w="med" len="med"/>
        </a:ln>
        <a:effectLst/>
      </xdr:spPr>
    </xdr:pic>
    <xdr:clientData/>
  </xdr:twoCellAnchor>
  <xdr:twoCellAnchor editAs="oneCell">
    <xdr:from>
      <xdr:col>18</xdr:col>
      <xdr:colOff>647700</xdr:colOff>
      <xdr:row>62</xdr:row>
      <xdr:rowOff>0</xdr:rowOff>
    </xdr:from>
    <xdr:to>
      <xdr:col>26</xdr:col>
      <xdr:colOff>276225</xdr:colOff>
      <xdr:row>92</xdr:row>
      <xdr:rowOff>28575</xdr:rowOff>
    </xdr:to>
    <xdr:pic>
      <xdr:nvPicPr>
        <xdr:cNvPr id="9239" name="Picture 23"/>
        <xdr:cNvPicPr>
          <a:picLocks noChangeAspect="1" noChangeArrowheads="1"/>
        </xdr:cNvPicPr>
      </xdr:nvPicPr>
      <xdr:blipFill>
        <a:blip xmlns:r="http://schemas.openxmlformats.org/officeDocument/2006/relationships" r:embed="rId3" cstate="print"/>
        <a:srcRect/>
        <a:stretch>
          <a:fillRect/>
        </a:stretch>
      </xdr:blipFill>
      <xdr:spPr bwMode="auto">
        <a:xfrm>
          <a:off x="14906625" y="16506825"/>
          <a:ext cx="6486525" cy="5724525"/>
        </a:xfrm>
        <a:prstGeom prst="rect">
          <a:avLst/>
        </a:prstGeom>
        <a:noFill/>
        <a:ln w="1">
          <a:noFill/>
          <a:miter lim="800000"/>
          <a:headEnd/>
          <a:tailEnd type="none" w="med" len="med"/>
        </a:ln>
        <a:effectLst/>
      </xdr:spPr>
    </xdr:pic>
    <xdr:clientData/>
  </xdr:twoCellAnchor>
  <xdr:twoCellAnchor editAs="oneCell">
    <xdr:from>
      <xdr:col>26</xdr:col>
      <xdr:colOff>361950</xdr:colOff>
      <xdr:row>52</xdr:row>
      <xdr:rowOff>0</xdr:rowOff>
    </xdr:from>
    <xdr:to>
      <xdr:col>31</xdr:col>
      <xdr:colOff>904875</xdr:colOff>
      <xdr:row>82</xdr:row>
      <xdr:rowOff>104775</xdr:rowOff>
    </xdr:to>
    <xdr:pic>
      <xdr:nvPicPr>
        <xdr:cNvPr id="9240" name="Picture 24"/>
        <xdr:cNvPicPr>
          <a:picLocks noChangeAspect="1" noChangeArrowheads="1"/>
        </xdr:cNvPicPr>
      </xdr:nvPicPr>
      <xdr:blipFill>
        <a:blip xmlns:r="http://schemas.openxmlformats.org/officeDocument/2006/relationships" r:embed="rId4" cstate="print"/>
        <a:srcRect/>
        <a:stretch>
          <a:fillRect/>
        </a:stretch>
      </xdr:blipFill>
      <xdr:spPr bwMode="auto">
        <a:xfrm>
          <a:off x="21478875" y="10706100"/>
          <a:ext cx="6496050" cy="5715000"/>
        </a:xfrm>
        <a:prstGeom prst="rect">
          <a:avLst/>
        </a:prstGeom>
        <a:noFill/>
        <a:ln w="1">
          <a:noFill/>
          <a:miter lim="800000"/>
          <a:headEnd/>
          <a:tailEnd type="none" w="med" len="med"/>
        </a:ln>
        <a:effectLst/>
      </xdr:spPr>
    </xdr:pic>
    <xdr:clientData/>
  </xdr:twoCellAnchor>
  <xdr:twoCellAnchor editAs="oneCell">
    <xdr:from>
      <xdr:col>26</xdr:col>
      <xdr:colOff>371475</xdr:colOff>
      <xdr:row>83</xdr:row>
      <xdr:rowOff>76200</xdr:rowOff>
    </xdr:from>
    <xdr:to>
      <xdr:col>31</xdr:col>
      <xdr:colOff>904875</xdr:colOff>
      <xdr:row>110</xdr:row>
      <xdr:rowOff>47625</xdr:rowOff>
    </xdr:to>
    <xdr:pic>
      <xdr:nvPicPr>
        <xdr:cNvPr id="9241" name="Picture 25"/>
        <xdr:cNvPicPr>
          <a:picLocks noChangeAspect="1" noChangeArrowheads="1"/>
        </xdr:cNvPicPr>
      </xdr:nvPicPr>
      <xdr:blipFill>
        <a:blip xmlns:r="http://schemas.openxmlformats.org/officeDocument/2006/relationships" r:embed="rId5" cstate="print"/>
        <a:srcRect/>
        <a:stretch>
          <a:fillRect/>
        </a:stretch>
      </xdr:blipFill>
      <xdr:spPr bwMode="auto">
        <a:xfrm>
          <a:off x="21488400" y="16392525"/>
          <a:ext cx="6486525" cy="5181600"/>
        </a:xfrm>
        <a:prstGeom prst="rect">
          <a:avLst/>
        </a:prstGeom>
        <a:noFill/>
        <a:ln w="1">
          <a:noFill/>
          <a:miter lim="800000"/>
          <a:headEnd/>
          <a:tailEnd type="none" w="med" len="med"/>
        </a:ln>
        <a:effectLst/>
      </xdr:spPr>
    </xdr:pic>
    <xdr:clientData/>
  </xdr:twoCellAnchor>
  <xdr:twoCellAnchor editAs="oneCell">
    <xdr:from>
      <xdr:col>31</xdr:col>
      <xdr:colOff>1047750</xdr:colOff>
      <xdr:row>52</xdr:row>
      <xdr:rowOff>0</xdr:rowOff>
    </xdr:from>
    <xdr:to>
      <xdr:col>37</xdr:col>
      <xdr:colOff>400050</xdr:colOff>
      <xdr:row>79</xdr:row>
      <xdr:rowOff>0</xdr:rowOff>
    </xdr:to>
    <xdr:pic>
      <xdr:nvPicPr>
        <xdr:cNvPr id="9242" name="Picture 26"/>
        <xdr:cNvPicPr>
          <a:picLocks noChangeAspect="1" noChangeArrowheads="1"/>
        </xdr:cNvPicPr>
      </xdr:nvPicPr>
      <xdr:blipFill>
        <a:blip xmlns:r="http://schemas.openxmlformats.org/officeDocument/2006/relationships" r:embed="rId6" cstate="print"/>
        <a:srcRect/>
        <a:stretch>
          <a:fillRect/>
        </a:stretch>
      </xdr:blipFill>
      <xdr:spPr bwMode="auto">
        <a:xfrm>
          <a:off x="28117800" y="10706100"/>
          <a:ext cx="6496050" cy="5038725"/>
        </a:xfrm>
        <a:prstGeom prst="rect">
          <a:avLst/>
        </a:prstGeom>
        <a:noFill/>
        <a:ln w="1">
          <a:noFill/>
          <a:miter lim="800000"/>
          <a:headEnd/>
          <a:tailEnd type="none" w="med" len="med"/>
        </a:ln>
        <a:effectLst/>
      </xdr:spPr>
    </xdr:pic>
    <xdr:clientData/>
  </xdr:twoCellAnchor>
  <xdr:twoCellAnchor editAs="oneCell">
    <xdr:from>
      <xdr:col>31</xdr:col>
      <xdr:colOff>1038225</xdr:colOff>
      <xdr:row>79</xdr:row>
      <xdr:rowOff>133350</xdr:rowOff>
    </xdr:from>
    <xdr:to>
      <xdr:col>37</xdr:col>
      <xdr:colOff>400050</xdr:colOff>
      <xdr:row>88</xdr:row>
      <xdr:rowOff>19050</xdr:rowOff>
    </xdr:to>
    <xdr:pic>
      <xdr:nvPicPr>
        <xdr:cNvPr id="9243" name="Picture 27"/>
        <xdr:cNvPicPr>
          <a:picLocks noChangeAspect="1" noChangeArrowheads="1"/>
        </xdr:cNvPicPr>
      </xdr:nvPicPr>
      <xdr:blipFill>
        <a:blip xmlns:r="http://schemas.openxmlformats.org/officeDocument/2006/relationships" r:embed="rId7" cstate="print"/>
        <a:srcRect/>
        <a:stretch>
          <a:fillRect/>
        </a:stretch>
      </xdr:blipFill>
      <xdr:spPr bwMode="auto">
        <a:xfrm>
          <a:off x="28108275" y="15725775"/>
          <a:ext cx="6505575" cy="1600200"/>
        </a:xfrm>
        <a:prstGeom prst="rect">
          <a:avLst/>
        </a:prstGeom>
        <a:noFill/>
        <a:ln w="1">
          <a:noFill/>
          <a:miter lim="800000"/>
          <a:headEnd/>
          <a:tailEnd type="none" w="med" len="med"/>
        </a:ln>
        <a:effectLst/>
      </xdr:spPr>
    </xdr:pic>
    <xdr:clientData/>
  </xdr:twoCellAnchor>
  <xdr:twoCellAnchor editAs="oneCell">
    <xdr:from>
      <xdr:col>26</xdr:col>
      <xdr:colOff>352425</xdr:colOff>
      <xdr:row>111</xdr:row>
      <xdr:rowOff>142875</xdr:rowOff>
    </xdr:from>
    <xdr:to>
      <xdr:col>31</xdr:col>
      <xdr:colOff>895350</xdr:colOff>
      <xdr:row>117</xdr:row>
      <xdr:rowOff>104775</xdr:rowOff>
    </xdr:to>
    <xdr:pic>
      <xdr:nvPicPr>
        <xdr:cNvPr id="9244" name="Picture 28"/>
        <xdr:cNvPicPr>
          <a:picLocks noChangeAspect="1" noChangeArrowheads="1"/>
        </xdr:cNvPicPr>
      </xdr:nvPicPr>
      <xdr:blipFill>
        <a:blip xmlns:r="http://schemas.openxmlformats.org/officeDocument/2006/relationships" r:embed="rId8" cstate="print"/>
        <a:srcRect/>
        <a:stretch>
          <a:fillRect/>
        </a:stretch>
      </xdr:blipFill>
      <xdr:spPr bwMode="auto">
        <a:xfrm>
          <a:off x="21469350" y="21545550"/>
          <a:ext cx="6496050" cy="1162050"/>
        </a:xfrm>
        <a:prstGeom prst="rect">
          <a:avLst/>
        </a:prstGeom>
        <a:noFill/>
        <a:ln w="1">
          <a:noFill/>
          <a:miter lim="800000"/>
          <a:headEnd/>
          <a:tailEnd type="none" w="med" len="med"/>
        </a:ln>
        <a:effectLst/>
      </xdr:spPr>
    </xdr:pic>
    <xdr:clientData/>
  </xdr:twoCellAnchor>
  <xdr:twoCellAnchor editAs="oneCell">
    <xdr:from>
      <xdr:col>5</xdr:col>
      <xdr:colOff>9526</xdr:colOff>
      <xdr:row>52</xdr:row>
      <xdr:rowOff>9526</xdr:rowOff>
    </xdr:from>
    <xdr:to>
      <xdr:col>13</xdr:col>
      <xdr:colOff>190500</xdr:colOff>
      <xdr:row>62</xdr:row>
      <xdr:rowOff>19148</xdr:rowOff>
    </xdr:to>
    <xdr:pic>
      <xdr:nvPicPr>
        <xdr:cNvPr id="9245" name="Picture 29"/>
        <xdr:cNvPicPr>
          <a:picLocks noChangeAspect="1" noChangeArrowheads="1"/>
        </xdr:cNvPicPr>
      </xdr:nvPicPr>
      <xdr:blipFill>
        <a:blip xmlns:r="http://schemas.openxmlformats.org/officeDocument/2006/relationships" r:embed="rId9" cstate="print"/>
        <a:srcRect/>
        <a:stretch>
          <a:fillRect/>
        </a:stretch>
      </xdr:blipFill>
      <xdr:spPr bwMode="auto">
        <a:xfrm>
          <a:off x="5724526" y="10153651"/>
          <a:ext cx="5438774" cy="1828897"/>
        </a:xfrm>
        <a:prstGeom prst="rect">
          <a:avLst/>
        </a:prstGeom>
        <a:noFill/>
        <a:ln w="1">
          <a:noFill/>
          <a:miter lim="800000"/>
          <a:headEnd/>
          <a:tailEnd type="none" w="med" len="med"/>
        </a:ln>
        <a:effectLst/>
      </xdr:spPr>
    </xdr:pic>
    <xdr:clientData/>
  </xdr:twoCellAnchor>
  <xdr:twoCellAnchor editAs="oneCell">
    <xdr:from>
      <xdr:col>5</xdr:col>
      <xdr:colOff>9525</xdr:colOff>
      <xdr:row>64</xdr:row>
      <xdr:rowOff>57150</xdr:rowOff>
    </xdr:from>
    <xdr:to>
      <xdr:col>18</xdr:col>
      <xdr:colOff>276225</xdr:colOff>
      <xdr:row>94</xdr:row>
      <xdr:rowOff>47625</xdr:rowOff>
    </xdr:to>
    <xdr:pic>
      <xdr:nvPicPr>
        <xdr:cNvPr id="9246" name="Picture 30"/>
        <xdr:cNvPicPr>
          <a:picLocks noChangeAspect="1" noChangeArrowheads="1"/>
        </xdr:cNvPicPr>
      </xdr:nvPicPr>
      <xdr:blipFill>
        <a:blip xmlns:r="http://schemas.openxmlformats.org/officeDocument/2006/relationships" r:embed="rId10" cstate="print"/>
        <a:srcRect/>
        <a:stretch>
          <a:fillRect/>
        </a:stretch>
      </xdr:blipFill>
      <xdr:spPr bwMode="auto">
        <a:xfrm>
          <a:off x="5724525" y="25155525"/>
          <a:ext cx="8810625" cy="5695950"/>
        </a:xfrm>
        <a:prstGeom prst="rect">
          <a:avLst/>
        </a:prstGeom>
        <a:noFill/>
        <a:ln w="1">
          <a:noFill/>
          <a:miter lim="800000"/>
          <a:headEnd/>
          <a:tailEnd type="none" w="med" len="med"/>
        </a:ln>
        <a:effectLst/>
      </xdr:spPr>
    </xdr:pic>
    <xdr:clientData/>
  </xdr:twoCellAnchor>
  <xdr:twoCellAnchor editAs="oneCell">
    <xdr:from>
      <xdr:col>11</xdr:col>
      <xdr:colOff>85725</xdr:colOff>
      <xdr:row>97</xdr:row>
      <xdr:rowOff>0</xdr:rowOff>
    </xdr:from>
    <xdr:to>
      <xdr:col>13</xdr:col>
      <xdr:colOff>314325</xdr:colOff>
      <xdr:row>103</xdr:row>
      <xdr:rowOff>85725</xdr:rowOff>
    </xdr:to>
    <xdr:pic>
      <xdr:nvPicPr>
        <xdr:cNvPr id="9252" name="Picture 36"/>
        <xdr:cNvPicPr>
          <a:picLocks noChangeAspect="1" noChangeArrowheads="1"/>
        </xdr:cNvPicPr>
      </xdr:nvPicPr>
      <xdr:blipFill>
        <a:blip xmlns:r="http://schemas.openxmlformats.org/officeDocument/2006/relationships" r:embed="rId11" cstate="print"/>
        <a:srcRect/>
        <a:stretch>
          <a:fillRect/>
        </a:stretch>
      </xdr:blipFill>
      <xdr:spPr bwMode="auto">
        <a:xfrm>
          <a:off x="9744075" y="19526250"/>
          <a:ext cx="1543050" cy="1247775"/>
        </a:xfrm>
        <a:prstGeom prst="rect">
          <a:avLst/>
        </a:prstGeom>
        <a:noFill/>
        <a:ln w="1">
          <a:noFill/>
          <a:miter lim="800000"/>
          <a:headEnd/>
          <a:tailEnd type="none" w="med" len="med"/>
        </a:ln>
        <a:effectLst/>
      </xdr:spPr>
    </xdr:pic>
    <xdr:clientData/>
  </xdr:twoCellAnchor>
  <xdr:twoCellAnchor editAs="oneCell">
    <xdr:from>
      <xdr:col>11</xdr:col>
      <xdr:colOff>133350</xdr:colOff>
      <xdr:row>103</xdr:row>
      <xdr:rowOff>104775</xdr:rowOff>
    </xdr:from>
    <xdr:to>
      <xdr:col>15</xdr:col>
      <xdr:colOff>590550</xdr:colOff>
      <xdr:row>109</xdr:row>
      <xdr:rowOff>161925</xdr:rowOff>
    </xdr:to>
    <xdr:pic>
      <xdr:nvPicPr>
        <xdr:cNvPr id="9253" name="Picture 37"/>
        <xdr:cNvPicPr>
          <a:picLocks noChangeAspect="1" noChangeArrowheads="1"/>
        </xdr:cNvPicPr>
      </xdr:nvPicPr>
      <xdr:blipFill>
        <a:blip xmlns:r="http://schemas.openxmlformats.org/officeDocument/2006/relationships" r:embed="rId12" cstate="print"/>
        <a:srcRect/>
        <a:stretch>
          <a:fillRect/>
        </a:stretch>
      </xdr:blipFill>
      <xdr:spPr bwMode="auto">
        <a:xfrm>
          <a:off x="9791700" y="20793075"/>
          <a:ext cx="3086100" cy="1257300"/>
        </a:xfrm>
        <a:prstGeom prst="rect">
          <a:avLst/>
        </a:prstGeom>
        <a:noFill/>
        <a:ln w="1">
          <a:noFill/>
          <a:miter lim="800000"/>
          <a:headEnd/>
          <a:tailEnd type="none" w="med" len="med"/>
        </a:ln>
        <a:effectLst/>
      </xdr:spPr>
    </xdr:pic>
    <xdr:clientData/>
  </xdr:twoCellAnchor>
  <xdr:twoCellAnchor editAs="oneCell">
    <xdr:from>
      <xdr:col>11</xdr:col>
      <xdr:colOff>66675</xdr:colOff>
      <xdr:row>110</xdr:row>
      <xdr:rowOff>19050</xdr:rowOff>
    </xdr:from>
    <xdr:to>
      <xdr:col>13</xdr:col>
      <xdr:colOff>190500</xdr:colOff>
      <xdr:row>116</xdr:row>
      <xdr:rowOff>66675</xdr:rowOff>
    </xdr:to>
    <xdr:pic>
      <xdr:nvPicPr>
        <xdr:cNvPr id="9254" name="Picture 38"/>
        <xdr:cNvPicPr>
          <a:picLocks noChangeAspect="1" noChangeArrowheads="1"/>
        </xdr:cNvPicPr>
      </xdr:nvPicPr>
      <xdr:blipFill>
        <a:blip xmlns:r="http://schemas.openxmlformats.org/officeDocument/2006/relationships" r:embed="rId13" cstate="print"/>
        <a:srcRect/>
        <a:stretch>
          <a:fillRect/>
        </a:stretch>
      </xdr:blipFill>
      <xdr:spPr bwMode="auto">
        <a:xfrm>
          <a:off x="9725025" y="22107525"/>
          <a:ext cx="1438275" cy="1247775"/>
        </a:xfrm>
        <a:prstGeom prst="rect">
          <a:avLst/>
        </a:prstGeom>
        <a:noFill/>
        <a:ln w="1">
          <a:noFill/>
          <a:miter lim="800000"/>
          <a:headEnd/>
          <a:tailEnd type="none" w="med" len="med"/>
        </a:ln>
        <a:effectLst/>
      </xdr:spPr>
    </xdr:pic>
    <xdr:clientData/>
  </xdr:twoCellAnchor>
  <xdr:twoCellAnchor editAs="oneCell">
    <xdr:from>
      <xdr:col>13</xdr:col>
      <xdr:colOff>0</xdr:colOff>
      <xdr:row>29</xdr:row>
      <xdr:rowOff>22450</xdr:rowOff>
    </xdr:from>
    <xdr:to>
      <xdr:col>18</xdr:col>
      <xdr:colOff>432529</xdr:colOff>
      <xdr:row>42</xdr:row>
      <xdr:rowOff>28575</xdr:rowOff>
    </xdr:to>
    <xdr:pic>
      <xdr:nvPicPr>
        <xdr:cNvPr id="9260" name="Picture 44"/>
        <xdr:cNvPicPr>
          <a:picLocks noChangeAspect="1" noChangeArrowheads="1"/>
        </xdr:cNvPicPr>
      </xdr:nvPicPr>
      <xdr:blipFill>
        <a:blip xmlns:r="http://schemas.openxmlformats.org/officeDocument/2006/relationships" r:embed="rId14" cstate="print"/>
        <a:srcRect/>
        <a:stretch>
          <a:fillRect/>
        </a:stretch>
      </xdr:blipFill>
      <xdr:spPr bwMode="auto">
        <a:xfrm>
          <a:off x="10972800" y="5937475"/>
          <a:ext cx="3718654" cy="2358800"/>
        </a:xfrm>
        <a:prstGeom prst="rect">
          <a:avLst/>
        </a:prstGeom>
        <a:noFill/>
        <a:ln w="1">
          <a:noFill/>
          <a:miter lim="800000"/>
          <a:headEnd/>
          <a:tailEnd type="none" w="med" len="med"/>
        </a:ln>
        <a:effectLst/>
      </xdr:spPr>
    </xdr:pic>
    <xdr:clientData/>
  </xdr:twoCellAnchor>
  <xdr:twoCellAnchor editAs="oneCell">
    <xdr:from>
      <xdr:col>18</xdr:col>
      <xdr:colOff>466726</xdr:colOff>
      <xdr:row>28</xdr:row>
      <xdr:rowOff>161925</xdr:rowOff>
    </xdr:from>
    <xdr:to>
      <xdr:col>23</xdr:col>
      <xdr:colOff>541825</xdr:colOff>
      <xdr:row>42</xdr:row>
      <xdr:rowOff>19050</xdr:rowOff>
    </xdr:to>
    <xdr:pic>
      <xdr:nvPicPr>
        <xdr:cNvPr id="9261" name="Picture 45"/>
        <xdr:cNvPicPr>
          <a:picLocks noChangeAspect="1" noChangeArrowheads="1"/>
        </xdr:cNvPicPr>
      </xdr:nvPicPr>
      <xdr:blipFill>
        <a:blip xmlns:r="http://schemas.openxmlformats.org/officeDocument/2006/relationships" r:embed="rId15" cstate="print"/>
        <a:srcRect/>
        <a:stretch>
          <a:fillRect/>
        </a:stretch>
      </xdr:blipFill>
      <xdr:spPr bwMode="auto">
        <a:xfrm>
          <a:off x="14725651" y="5895975"/>
          <a:ext cx="3361224" cy="2390775"/>
        </a:xfrm>
        <a:prstGeom prst="rect">
          <a:avLst/>
        </a:prstGeom>
        <a:noFill/>
        <a:ln w="1">
          <a:noFill/>
          <a:miter lim="800000"/>
          <a:headEnd/>
          <a:tailEnd type="none" w="med" len="med"/>
        </a:ln>
        <a:effectLst/>
      </xdr:spPr>
    </xdr:pic>
    <xdr:clientData/>
  </xdr:twoCellAnchor>
  <xdr:twoCellAnchor editAs="oneCell">
    <xdr:from>
      <xdr:col>5</xdr:col>
      <xdr:colOff>28575</xdr:colOff>
      <xdr:row>25</xdr:row>
      <xdr:rowOff>19049</xdr:rowOff>
    </xdr:from>
    <xdr:to>
      <xdr:col>12</xdr:col>
      <xdr:colOff>606198</xdr:colOff>
      <xdr:row>40</xdr:row>
      <xdr:rowOff>171449</xdr:rowOff>
    </xdr:to>
    <xdr:pic>
      <xdr:nvPicPr>
        <xdr:cNvPr id="9266" name="Picture 50"/>
        <xdr:cNvPicPr>
          <a:picLocks noChangeAspect="1" noChangeArrowheads="1"/>
        </xdr:cNvPicPr>
      </xdr:nvPicPr>
      <xdr:blipFill>
        <a:blip xmlns:r="http://schemas.openxmlformats.org/officeDocument/2006/relationships" r:embed="rId16" cstate="print"/>
        <a:srcRect/>
        <a:stretch>
          <a:fillRect/>
        </a:stretch>
      </xdr:blipFill>
      <xdr:spPr bwMode="auto">
        <a:xfrm>
          <a:off x="5743575" y="5210174"/>
          <a:ext cx="5178198" cy="2867025"/>
        </a:xfrm>
        <a:prstGeom prst="rect">
          <a:avLst/>
        </a:prstGeom>
        <a:noFill/>
        <a:ln w="1">
          <a:noFill/>
          <a:miter lim="800000"/>
          <a:headEnd/>
          <a:tailEnd type="none" w="med" len="med"/>
        </a:ln>
        <a:effectLst/>
      </xdr:spPr>
    </xdr:pic>
    <xdr:clientData/>
  </xdr:twoCellAnchor>
  <xdr:twoCellAnchor editAs="oneCell">
    <xdr:from>
      <xdr:col>0</xdr:col>
      <xdr:colOff>485775</xdr:colOff>
      <xdr:row>43</xdr:row>
      <xdr:rowOff>38100</xdr:rowOff>
    </xdr:from>
    <xdr:to>
      <xdr:col>3</xdr:col>
      <xdr:colOff>152400</xdr:colOff>
      <xdr:row>53</xdr:row>
      <xdr:rowOff>101615</xdr:rowOff>
    </xdr:to>
    <xdr:pic>
      <xdr:nvPicPr>
        <xdr:cNvPr id="9267" name="Picture 51"/>
        <xdr:cNvPicPr>
          <a:picLocks noChangeAspect="1" noChangeArrowheads="1"/>
        </xdr:cNvPicPr>
      </xdr:nvPicPr>
      <xdr:blipFill>
        <a:blip xmlns:r="http://schemas.openxmlformats.org/officeDocument/2006/relationships" r:embed="rId17" cstate="print"/>
        <a:srcRect/>
        <a:stretch>
          <a:fillRect/>
        </a:stretch>
      </xdr:blipFill>
      <xdr:spPr bwMode="auto">
        <a:xfrm>
          <a:off x="485775" y="8486775"/>
          <a:ext cx="3609975" cy="1939940"/>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9" name="五边形 18">
          <a:hlinkClick xmlns:r="http://schemas.openxmlformats.org/officeDocument/2006/relationships" r:id="rId18"/>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0</xdr:colOff>
      <xdr:row>1</xdr:row>
      <xdr:rowOff>200025</xdr:rowOff>
    </xdr:from>
    <xdr:to>
      <xdr:col>13</xdr:col>
      <xdr:colOff>142481</xdr:colOff>
      <xdr:row>15</xdr:row>
      <xdr:rowOff>171450</xdr:rowOff>
    </xdr:to>
    <xdr:pic>
      <xdr:nvPicPr>
        <xdr:cNvPr id="2" name="Picture 19"/>
        <xdr:cNvPicPr>
          <a:picLocks noChangeAspect="1" noChangeArrowheads="1"/>
        </xdr:cNvPicPr>
      </xdr:nvPicPr>
      <xdr:blipFill>
        <a:blip xmlns:r="http://schemas.openxmlformats.org/officeDocument/2006/relationships" r:embed="rId1" cstate="print"/>
        <a:srcRect/>
        <a:stretch>
          <a:fillRect/>
        </a:stretch>
      </xdr:blipFill>
      <xdr:spPr bwMode="auto">
        <a:xfrm>
          <a:off x="5953125" y="361950"/>
          <a:ext cx="9667481" cy="2524125"/>
        </a:xfrm>
        <a:prstGeom prst="rect">
          <a:avLst/>
        </a:prstGeom>
        <a:noFill/>
        <a:ln w="1">
          <a:noFill/>
          <a:miter lim="800000"/>
          <a:headEnd/>
          <a:tailEnd type="none" w="med" len="med"/>
        </a:ln>
        <a:effectLst/>
      </xdr:spPr>
    </xdr:pic>
    <xdr:clientData/>
  </xdr:twoCellAnchor>
  <xdr:twoCellAnchor editAs="oneCell">
    <xdr:from>
      <xdr:col>5</xdr:col>
      <xdr:colOff>0</xdr:colOff>
      <xdr:row>17</xdr:row>
      <xdr:rowOff>0</xdr:rowOff>
    </xdr:from>
    <xdr:to>
      <xdr:col>12</xdr:col>
      <xdr:colOff>266700</xdr:colOff>
      <xdr:row>26</xdr:row>
      <xdr:rowOff>200025</xdr:rowOff>
    </xdr:to>
    <xdr:pic>
      <xdr:nvPicPr>
        <xdr:cNvPr id="3" name="Picture 20"/>
        <xdr:cNvPicPr>
          <a:picLocks noChangeAspect="1" noChangeArrowheads="1"/>
        </xdr:cNvPicPr>
      </xdr:nvPicPr>
      <xdr:blipFill>
        <a:blip xmlns:r="http://schemas.openxmlformats.org/officeDocument/2006/relationships" r:embed="rId2" cstate="print"/>
        <a:srcRect/>
        <a:stretch>
          <a:fillRect/>
        </a:stretch>
      </xdr:blipFill>
      <xdr:spPr bwMode="auto">
        <a:xfrm>
          <a:off x="5953125" y="3076575"/>
          <a:ext cx="8601075" cy="1809750"/>
        </a:xfrm>
        <a:prstGeom prst="rect">
          <a:avLst/>
        </a:prstGeom>
        <a:noFill/>
        <a:ln w="1">
          <a:noFill/>
          <a:miter lim="800000"/>
          <a:headEnd/>
          <a:tailEnd type="none" w="med" len="med"/>
        </a:ln>
        <a:effectLst/>
      </xdr:spPr>
    </xdr:pic>
    <xdr:clientData/>
  </xdr:twoCellAnchor>
  <xdr:twoCellAnchor editAs="oneCell">
    <xdr:from>
      <xdr:col>5</xdr:col>
      <xdr:colOff>0</xdr:colOff>
      <xdr:row>28</xdr:row>
      <xdr:rowOff>0</xdr:rowOff>
    </xdr:from>
    <xdr:to>
      <xdr:col>15</xdr:col>
      <xdr:colOff>104775</xdr:colOff>
      <xdr:row>47</xdr:row>
      <xdr:rowOff>171450</xdr:rowOff>
    </xdr:to>
    <xdr:pic>
      <xdr:nvPicPr>
        <xdr:cNvPr id="4" name="Picture 22"/>
        <xdr:cNvPicPr>
          <a:picLocks noChangeAspect="1" noChangeArrowheads="1"/>
        </xdr:cNvPicPr>
      </xdr:nvPicPr>
      <xdr:blipFill>
        <a:blip xmlns:r="http://schemas.openxmlformats.org/officeDocument/2006/relationships" r:embed="rId3" cstate="print"/>
        <a:srcRect/>
        <a:stretch>
          <a:fillRect/>
        </a:stretch>
      </xdr:blipFill>
      <xdr:spPr bwMode="auto">
        <a:xfrm>
          <a:off x="5953125" y="5067300"/>
          <a:ext cx="12011025" cy="3609975"/>
        </a:xfrm>
        <a:prstGeom prst="rect">
          <a:avLst/>
        </a:prstGeom>
        <a:noFill/>
        <a:ln w="1">
          <a:noFill/>
          <a:miter lim="800000"/>
          <a:headEnd/>
          <a:tailEnd type="none" w="med" len="med"/>
        </a:ln>
        <a:effectLst/>
      </xdr:spPr>
    </xdr:pic>
    <xdr:clientData/>
  </xdr:twoCellAnchor>
  <xdr:twoCellAnchor editAs="oneCell">
    <xdr:from>
      <xdr:col>1</xdr:col>
      <xdr:colOff>771525</xdr:colOff>
      <xdr:row>31</xdr:row>
      <xdr:rowOff>114301</xdr:rowOff>
    </xdr:from>
    <xdr:to>
      <xdr:col>3</xdr:col>
      <xdr:colOff>619125</xdr:colOff>
      <xdr:row>34</xdr:row>
      <xdr:rowOff>133351</xdr:rowOff>
    </xdr:to>
    <xdr:pic>
      <xdr:nvPicPr>
        <xdr:cNvPr id="5" name="Picture 23"/>
        <xdr:cNvPicPr>
          <a:picLocks noChangeAspect="1" noChangeArrowheads="1"/>
        </xdr:cNvPicPr>
      </xdr:nvPicPr>
      <xdr:blipFill>
        <a:blip xmlns:r="http://schemas.openxmlformats.org/officeDocument/2006/relationships" r:embed="rId4" cstate="print"/>
        <a:srcRect/>
        <a:stretch>
          <a:fillRect/>
        </a:stretch>
      </xdr:blipFill>
      <xdr:spPr bwMode="auto">
        <a:xfrm>
          <a:off x="1962150" y="6743701"/>
          <a:ext cx="2600325" cy="647700"/>
        </a:xfrm>
        <a:prstGeom prst="rect">
          <a:avLst/>
        </a:prstGeom>
        <a:noFill/>
        <a:ln w="1">
          <a:noFill/>
          <a:miter lim="800000"/>
          <a:headEnd/>
          <a:tailEnd type="none" w="med" len="med"/>
        </a:ln>
        <a:effectLst/>
      </xdr:spPr>
    </xdr:pic>
    <xdr:clientData/>
  </xdr:twoCellAnchor>
  <xdr:twoCellAnchor>
    <xdr:from>
      <xdr:col>5</xdr:col>
      <xdr:colOff>247650</xdr:colOff>
      <xdr:row>4</xdr:row>
      <xdr:rowOff>133350</xdr:rowOff>
    </xdr:from>
    <xdr:to>
      <xdr:col>6</xdr:col>
      <xdr:colOff>123825</xdr:colOff>
      <xdr:row>7</xdr:row>
      <xdr:rowOff>95250</xdr:rowOff>
    </xdr:to>
    <xdr:sp macro="" textlink="">
      <xdr:nvSpPr>
        <xdr:cNvPr id="6" name="环形箭头 5"/>
        <xdr:cNvSpPr/>
      </xdr:nvSpPr>
      <xdr:spPr>
        <a:xfrm flipH="1">
          <a:off x="6200775" y="857250"/>
          <a:ext cx="1066800" cy="504825"/>
        </a:xfrm>
        <a:prstGeom prst="circular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solidFill>
              <a:schemeClr val="tx1"/>
            </a:solidFill>
          </a:endParaRPr>
        </a:p>
      </xdr:txBody>
    </xdr:sp>
    <xdr:clientData/>
  </xdr:twoCellAnchor>
  <xdr:twoCellAnchor editAs="oneCell">
    <xdr:from>
      <xdr:col>0</xdr:col>
      <xdr:colOff>361951</xdr:colOff>
      <xdr:row>31</xdr:row>
      <xdr:rowOff>76199</xdr:rowOff>
    </xdr:from>
    <xdr:to>
      <xdr:col>1</xdr:col>
      <xdr:colOff>742950</xdr:colOff>
      <xdr:row>34</xdr:row>
      <xdr:rowOff>142874</xdr:rowOff>
    </xdr:to>
    <xdr:pic>
      <xdr:nvPicPr>
        <xdr:cNvPr id="7" name="Picture 19"/>
        <xdr:cNvPicPr>
          <a:picLocks noChangeAspect="1" noChangeArrowheads="1"/>
        </xdr:cNvPicPr>
      </xdr:nvPicPr>
      <xdr:blipFill>
        <a:blip xmlns:r="http://schemas.openxmlformats.org/officeDocument/2006/relationships" r:embed="rId5" cstate="print"/>
        <a:srcRect/>
        <a:stretch>
          <a:fillRect/>
        </a:stretch>
      </xdr:blipFill>
      <xdr:spPr bwMode="auto">
        <a:xfrm>
          <a:off x="361951" y="6705599"/>
          <a:ext cx="1571624" cy="69532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8" name="五边形 7">
          <a:hlinkClick xmlns:r="http://schemas.openxmlformats.org/officeDocument/2006/relationships" r:id="rId6"/>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13</xdr:row>
      <xdr:rowOff>1</xdr:rowOff>
    </xdr:from>
    <xdr:to>
      <xdr:col>14</xdr:col>
      <xdr:colOff>152400</xdr:colOff>
      <xdr:row>34</xdr:row>
      <xdr:rowOff>171451</xdr:rowOff>
    </xdr:to>
    <xdr:pic>
      <xdr:nvPicPr>
        <xdr:cNvPr id="11279"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5715000" y="2857501"/>
          <a:ext cx="6067425" cy="4076700"/>
        </a:xfrm>
        <a:prstGeom prst="rect">
          <a:avLst/>
        </a:prstGeom>
        <a:noFill/>
        <a:ln w="1">
          <a:noFill/>
          <a:miter lim="800000"/>
          <a:headEnd/>
          <a:tailEnd type="none" w="med" len="med"/>
        </a:ln>
        <a:effectLst/>
      </xdr:spPr>
    </xdr:pic>
    <xdr:clientData/>
  </xdr:twoCellAnchor>
  <xdr:twoCellAnchor editAs="oneCell">
    <xdr:from>
      <xdr:col>14</xdr:col>
      <xdr:colOff>161925</xdr:colOff>
      <xdr:row>13</xdr:row>
      <xdr:rowOff>9525</xdr:rowOff>
    </xdr:from>
    <xdr:to>
      <xdr:col>23</xdr:col>
      <xdr:colOff>514350</xdr:colOff>
      <xdr:row>34</xdr:row>
      <xdr:rowOff>161925</xdr:rowOff>
    </xdr:to>
    <xdr:pic>
      <xdr:nvPicPr>
        <xdr:cNvPr id="11280" name="Picture 16"/>
        <xdr:cNvPicPr>
          <a:picLocks noChangeAspect="1" noChangeArrowheads="1"/>
        </xdr:cNvPicPr>
      </xdr:nvPicPr>
      <xdr:blipFill>
        <a:blip xmlns:r="http://schemas.openxmlformats.org/officeDocument/2006/relationships" r:embed="rId2" cstate="print"/>
        <a:srcRect/>
        <a:stretch>
          <a:fillRect/>
        </a:stretch>
      </xdr:blipFill>
      <xdr:spPr bwMode="auto">
        <a:xfrm>
          <a:off x="11791950" y="3686175"/>
          <a:ext cx="6267450" cy="4057650"/>
        </a:xfrm>
        <a:prstGeom prst="rect">
          <a:avLst/>
        </a:prstGeom>
        <a:noFill/>
        <a:ln w="1">
          <a:noFill/>
          <a:miter lim="800000"/>
          <a:headEnd/>
          <a:tailEnd type="none" w="med" len="med"/>
        </a:ln>
        <a:effectLst/>
      </xdr:spPr>
    </xdr:pic>
    <xdr:clientData/>
  </xdr:twoCellAnchor>
  <xdr:twoCellAnchor editAs="oneCell">
    <xdr:from>
      <xdr:col>5</xdr:col>
      <xdr:colOff>0</xdr:colOff>
      <xdr:row>37</xdr:row>
      <xdr:rowOff>0</xdr:rowOff>
    </xdr:from>
    <xdr:to>
      <xdr:col>10</xdr:col>
      <xdr:colOff>0</xdr:colOff>
      <xdr:row>62</xdr:row>
      <xdr:rowOff>85725</xdr:rowOff>
    </xdr:to>
    <xdr:pic>
      <xdr:nvPicPr>
        <xdr:cNvPr id="11282" name="Picture 18"/>
        <xdr:cNvPicPr>
          <a:picLocks noChangeAspect="1" noChangeArrowheads="1"/>
        </xdr:cNvPicPr>
      </xdr:nvPicPr>
      <xdr:blipFill>
        <a:blip xmlns:r="http://schemas.openxmlformats.org/officeDocument/2006/relationships" r:embed="rId3" cstate="print"/>
        <a:srcRect/>
        <a:stretch>
          <a:fillRect/>
        </a:stretch>
      </xdr:blipFill>
      <xdr:spPr bwMode="auto">
        <a:xfrm>
          <a:off x="5715000" y="8210550"/>
          <a:ext cx="3286125" cy="4629150"/>
        </a:xfrm>
        <a:prstGeom prst="rect">
          <a:avLst/>
        </a:prstGeom>
        <a:noFill/>
        <a:ln w="1">
          <a:noFill/>
          <a:miter lim="800000"/>
          <a:headEnd/>
          <a:tailEnd type="none" w="med" len="med"/>
        </a:ln>
        <a:effectLst/>
      </xdr:spPr>
    </xdr:pic>
    <xdr:clientData/>
  </xdr:twoCellAnchor>
  <xdr:twoCellAnchor editAs="oneCell">
    <xdr:from>
      <xdr:col>14</xdr:col>
      <xdr:colOff>619125</xdr:colOff>
      <xdr:row>36</xdr:row>
      <xdr:rowOff>0</xdr:rowOff>
    </xdr:from>
    <xdr:to>
      <xdr:col>18</xdr:col>
      <xdr:colOff>438150</xdr:colOff>
      <xdr:row>42</xdr:row>
      <xdr:rowOff>171450</xdr:rowOff>
    </xdr:to>
    <xdr:pic>
      <xdr:nvPicPr>
        <xdr:cNvPr id="11291" name="Picture 27"/>
        <xdr:cNvPicPr>
          <a:picLocks noChangeAspect="1" noChangeArrowheads="1"/>
        </xdr:cNvPicPr>
      </xdr:nvPicPr>
      <xdr:blipFill>
        <a:blip xmlns:r="http://schemas.openxmlformats.org/officeDocument/2006/relationships" r:embed="rId4" cstate="print"/>
        <a:srcRect/>
        <a:stretch>
          <a:fillRect/>
        </a:stretch>
      </xdr:blipFill>
      <xdr:spPr bwMode="auto">
        <a:xfrm>
          <a:off x="12249150" y="7791450"/>
          <a:ext cx="2447925" cy="1266825"/>
        </a:xfrm>
        <a:prstGeom prst="rect">
          <a:avLst/>
        </a:prstGeom>
        <a:noFill/>
        <a:ln w="1">
          <a:noFill/>
          <a:miter lim="800000"/>
          <a:headEnd/>
          <a:tailEnd type="none" w="med" len="med"/>
        </a:ln>
        <a:effectLst/>
      </xdr:spPr>
    </xdr:pic>
    <xdr:clientData/>
  </xdr:twoCellAnchor>
  <xdr:twoCellAnchor editAs="oneCell">
    <xdr:from>
      <xdr:col>14</xdr:col>
      <xdr:colOff>600075</xdr:colOff>
      <xdr:row>52</xdr:row>
      <xdr:rowOff>3758</xdr:rowOff>
    </xdr:from>
    <xdr:to>
      <xdr:col>18</xdr:col>
      <xdr:colOff>571500</xdr:colOff>
      <xdr:row>58</xdr:row>
      <xdr:rowOff>171451</xdr:rowOff>
    </xdr:to>
    <xdr:pic>
      <xdr:nvPicPr>
        <xdr:cNvPr id="11293" name="Picture 29"/>
        <xdr:cNvPicPr>
          <a:picLocks noChangeAspect="1" noChangeArrowheads="1"/>
        </xdr:cNvPicPr>
      </xdr:nvPicPr>
      <xdr:blipFill>
        <a:blip xmlns:r="http://schemas.openxmlformats.org/officeDocument/2006/relationships" r:embed="rId5" cstate="print"/>
        <a:srcRect/>
        <a:stretch>
          <a:fillRect/>
        </a:stretch>
      </xdr:blipFill>
      <xdr:spPr bwMode="auto">
        <a:xfrm>
          <a:off x="12230100" y="10938458"/>
          <a:ext cx="2600325" cy="1253543"/>
        </a:xfrm>
        <a:prstGeom prst="rect">
          <a:avLst/>
        </a:prstGeom>
        <a:noFill/>
        <a:ln w="1">
          <a:noFill/>
          <a:miter lim="800000"/>
          <a:headEnd/>
          <a:tailEnd type="none" w="med" len="med"/>
        </a:ln>
        <a:effectLst/>
      </xdr:spPr>
    </xdr:pic>
    <xdr:clientData/>
  </xdr:twoCellAnchor>
  <xdr:twoCellAnchor editAs="oneCell">
    <xdr:from>
      <xdr:col>18</xdr:col>
      <xdr:colOff>133350</xdr:colOff>
      <xdr:row>41</xdr:row>
      <xdr:rowOff>123825</xdr:rowOff>
    </xdr:from>
    <xdr:to>
      <xdr:col>20</xdr:col>
      <xdr:colOff>504825</xdr:colOff>
      <xdr:row>52</xdr:row>
      <xdr:rowOff>57150</xdr:rowOff>
    </xdr:to>
    <xdr:pic>
      <xdr:nvPicPr>
        <xdr:cNvPr id="11292" name="Picture 28"/>
        <xdr:cNvPicPr>
          <a:picLocks noChangeAspect="1" noChangeArrowheads="1"/>
        </xdr:cNvPicPr>
      </xdr:nvPicPr>
      <xdr:blipFill>
        <a:blip xmlns:r="http://schemas.openxmlformats.org/officeDocument/2006/relationships" r:embed="rId6" cstate="print"/>
        <a:srcRect/>
        <a:stretch>
          <a:fillRect/>
        </a:stretch>
      </xdr:blipFill>
      <xdr:spPr bwMode="auto">
        <a:xfrm>
          <a:off x="14563725" y="8162925"/>
          <a:ext cx="1685925" cy="1933575"/>
        </a:xfrm>
        <a:prstGeom prst="rect">
          <a:avLst/>
        </a:prstGeom>
        <a:noFill/>
        <a:ln w="1">
          <a:noFill/>
          <a:miter lim="800000"/>
          <a:headEnd/>
          <a:tailEnd type="none" w="med" len="med"/>
        </a:ln>
        <a:effectLst/>
      </xdr:spPr>
    </xdr:pic>
    <xdr:clientData/>
  </xdr:twoCellAnchor>
  <xdr:twoCellAnchor editAs="oneCell">
    <xdr:from>
      <xdr:col>15</xdr:col>
      <xdr:colOff>123826</xdr:colOff>
      <xdr:row>59</xdr:row>
      <xdr:rowOff>66675</xdr:rowOff>
    </xdr:from>
    <xdr:to>
      <xdr:col>18</xdr:col>
      <xdr:colOff>552451</xdr:colOff>
      <xdr:row>64</xdr:row>
      <xdr:rowOff>173202</xdr:rowOff>
    </xdr:to>
    <xdr:pic>
      <xdr:nvPicPr>
        <xdr:cNvPr id="11294" name="Picture 30"/>
        <xdr:cNvPicPr>
          <a:picLocks noChangeAspect="1" noChangeArrowheads="1"/>
        </xdr:cNvPicPr>
      </xdr:nvPicPr>
      <xdr:blipFill>
        <a:blip xmlns:r="http://schemas.openxmlformats.org/officeDocument/2006/relationships" r:embed="rId7" cstate="print"/>
        <a:srcRect/>
        <a:stretch>
          <a:fillRect/>
        </a:stretch>
      </xdr:blipFill>
      <xdr:spPr bwMode="auto">
        <a:xfrm>
          <a:off x="12411076" y="12087225"/>
          <a:ext cx="2400300" cy="1011402"/>
        </a:xfrm>
        <a:prstGeom prst="rect">
          <a:avLst/>
        </a:prstGeom>
        <a:noFill/>
        <a:ln w="1">
          <a:noFill/>
          <a:miter lim="800000"/>
          <a:headEnd/>
          <a:tailEnd type="none" w="med" len="med"/>
        </a:ln>
        <a:effectLst/>
      </xdr:spPr>
    </xdr:pic>
    <xdr:clientData/>
  </xdr:twoCellAnchor>
  <xdr:twoCellAnchor editAs="oneCell">
    <xdr:from>
      <xdr:col>14</xdr:col>
      <xdr:colOff>647700</xdr:colOff>
      <xdr:row>41</xdr:row>
      <xdr:rowOff>123826</xdr:rowOff>
    </xdr:from>
    <xdr:to>
      <xdr:col>18</xdr:col>
      <xdr:colOff>390525</xdr:colOff>
      <xdr:row>47</xdr:row>
      <xdr:rowOff>95251</xdr:rowOff>
    </xdr:to>
    <xdr:pic>
      <xdr:nvPicPr>
        <xdr:cNvPr id="11289" name="Picture 25"/>
        <xdr:cNvPicPr>
          <a:picLocks noChangeAspect="1" noChangeArrowheads="1"/>
        </xdr:cNvPicPr>
      </xdr:nvPicPr>
      <xdr:blipFill>
        <a:blip xmlns:r="http://schemas.openxmlformats.org/officeDocument/2006/relationships" r:embed="rId8" cstate="print"/>
        <a:srcRect/>
        <a:stretch>
          <a:fillRect/>
        </a:stretch>
      </xdr:blipFill>
      <xdr:spPr bwMode="auto">
        <a:xfrm>
          <a:off x="12277725" y="9067801"/>
          <a:ext cx="2371725" cy="1066800"/>
        </a:xfrm>
        <a:prstGeom prst="rect">
          <a:avLst/>
        </a:prstGeom>
        <a:noFill/>
        <a:ln w="1">
          <a:noFill/>
          <a:miter lim="800000"/>
          <a:headEnd/>
          <a:tailEnd type="none" w="med" len="med"/>
        </a:ln>
        <a:effectLst/>
      </xdr:spPr>
    </xdr:pic>
    <xdr:clientData/>
  </xdr:twoCellAnchor>
  <xdr:twoCellAnchor editAs="oneCell">
    <xdr:from>
      <xdr:col>0</xdr:col>
      <xdr:colOff>0</xdr:colOff>
      <xdr:row>49</xdr:row>
      <xdr:rowOff>0</xdr:rowOff>
    </xdr:from>
    <xdr:to>
      <xdr:col>4</xdr:col>
      <xdr:colOff>512003</xdr:colOff>
      <xdr:row>64</xdr:row>
      <xdr:rowOff>0</xdr:rowOff>
    </xdr:to>
    <xdr:pic>
      <xdr:nvPicPr>
        <xdr:cNvPr id="11298" name="Picture 34"/>
        <xdr:cNvPicPr>
          <a:picLocks noChangeAspect="1" noChangeArrowheads="1"/>
        </xdr:cNvPicPr>
      </xdr:nvPicPr>
      <xdr:blipFill>
        <a:blip xmlns:r="http://schemas.openxmlformats.org/officeDocument/2006/relationships" r:embed="rId9" cstate="print"/>
        <a:srcRect/>
        <a:stretch>
          <a:fillRect/>
        </a:stretch>
      </xdr:blipFill>
      <xdr:spPr bwMode="auto">
        <a:xfrm>
          <a:off x="0" y="7858125"/>
          <a:ext cx="5798378" cy="2714625"/>
        </a:xfrm>
        <a:prstGeom prst="rect">
          <a:avLst/>
        </a:prstGeom>
        <a:noFill/>
        <a:ln w="1">
          <a:noFill/>
          <a:miter lim="800000"/>
          <a:headEnd/>
          <a:tailEnd type="none" w="med" len="med"/>
        </a:ln>
        <a:effectLst/>
      </xdr:spPr>
    </xdr:pic>
    <xdr:clientData/>
  </xdr:twoCellAnchor>
  <xdr:twoCellAnchor editAs="oneCell">
    <xdr:from>
      <xdr:col>0</xdr:col>
      <xdr:colOff>0</xdr:colOff>
      <xdr:row>66</xdr:row>
      <xdr:rowOff>0</xdr:rowOff>
    </xdr:from>
    <xdr:to>
      <xdr:col>4</xdr:col>
      <xdr:colOff>319347</xdr:colOff>
      <xdr:row>77</xdr:row>
      <xdr:rowOff>0</xdr:rowOff>
    </xdr:to>
    <xdr:pic>
      <xdr:nvPicPr>
        <xdr:cNvPr id="11299" name="Picture 35"/>
        <xdr:cNvPicPr>
          <a:picLocks noChangeAspect="1" noChangeArrowheads="1"/>
        </xdr:cNvPicPr>
      </xdr:nvPicPr>
      <xdr:blipFill>
        <a:blip xmlns:r="http://schemas.openxmlformats.org/officeDocument/2006/relationships" r:embed="rId10" cstate="print"/>
        <a:srcRect/>
        <a:stretch>
          <a:fillRect/>
        </a:stretch>
      </xdr:blipFill>
      <xdr:spPr bwMode="auto">
        <a:xfrm>
          <a:off x="0" y="10934700"/>
          <a:ext cx="5605722" cy="1990725"/>
        </a:xfrm>
        <a:prstGeom prst="rect">
          <a:avLst/>
        </a:prstGeom>
        <a:noFill/>
        <a:ln w="1">
          <a:noFill/>
          <a:miter lim="800000"/>
          <a:headEnd/>
          <a:tailEnd type="none" w="med" len="med"/>
        </a:ln>
        <a:effectLst/>
      </xdr:spPr>
    </xdr:pic>
    <xdr:clientData/>
  </xdr:twoCellAnchor>
  <xdr:twoCellAnchor editAs="oneCell">
    <xdr:from>
      <xdr:col>0</xdr:col>
      <xdr:colOff>9525</xdr:colOff>
      <xdr:row>77</xdr:row>
      <xdr:rowOff>0</xdr:rowOff>
    </xdr:from>
    <xdr:to>
      <xdr:col>4</xdr:col>
      <xdr:colOff>402136</xdr:colOff>
      <xdr:row>99</xdr:row>
      <xdr:rowOff>123825</xdr:rowOff>
    </xdr:to>
    <xdr:pic>
      <xdr:nvPicPr>
        <xdr:cNvPr id="11300" name="Picture 36"/>
        <xdr:cNvPicPr>
          <a:picLocks noChangeAspect="1" noChangeArrowheads="1"/>
        </xdr:cNvPicPr>
      </xdr:nvPicPr>
      <xdr:blipFill>
        <a:blip xmlns:r="http://schemas.openxmlformats.org/officeDocument/2006/relationships" r:embed="rId11" cstate="print"/>
        <a:srcRect/>
        <a:stretch>
          <a:fillRect/>
        </a:stretch>
      </xdr:blipFill>
      <xdr:spPr bwMode="auto">
        <a:xfrm>
          <a:off x="9525" y="12925425"/>
          <a:ext cx="5678986" cy="4133850"/>
        </a:xfrm>
        <a:prstGeom prst="rect">
          <a:avLst/>
        </a:prstGeom>
        <a:noFill/>
        <a:ln w="1">
          <a:noFill/>
          <a:miter lim="800000"/>
          <a:headEnd/>
          <a:tailEnd type="none" w="med" len="med"/>
        </a:ln>
        <a:effectLst/>
      </xdr:spPr>
    </xdr:pic>
    <xdr:clientData/>
  </xdr:twoCellAnchor>
  <xdr:twoCellAnchor editAs="oneCell">
    <xdr:from>
      <xdr:col>0</xdr:col>
      <xdr:colOff>0</xdr:colOff>
      <xdr:row>99</xdr:row>
      <xdr:rowOff>104774</xdr:rowOff>
    </xdr:from>
    <xdr:to>
      <xdr:col>4</xdr:col>
      <xdr:colOff>397007</xdr:colOff>
      <xdr:row>120</xdr:row>
      <xdr:rowOff>57150</xdr:rowOff>
    </xdr:to>
    <xdr:pic>
      <xdr:nvPicPr>
        <xdr:cNvPr id="11301" name="Picture 37"/>
        <xdr:cNvPicPr>
          <a:picLocks noChangeAspect="1" noChangeArrowheads="1"/>
        </xdr:cNvPicPr>
      </xdr:nvPicPr>
      <xdr:blipFill>
        <a:blip xmlns:r="http://schemas.openxmlformats.org/officeDocument/2006/relationships" r:embed="rId12" cstate="print"/>
        <a:srcRect/>
        <a:stretch>
          <a:fillRect/>
        </a:stretch>
      </xdr:blipFill>
      <xdr:spPr bwMode="auto">
        <a:xfrm>
          <a:off x="0" y="17040224"/>
          <a:ext cx="5683382" cy="3810001"/>
        </a:xfrm>
        <a:prstGeom prst="rect">
          <a:avLst/>
        </a:prstGeom>
        <a:noFill/>
        <a:ln w="1">
          <a:noFill/>
          <a:miter lim="800000"/>
          <a:headEnd/>
          <a:tailEnd type="none" w="med" len="med"/>
        </a:ln>
        <a:effectLst/>
      </xdr:spPr>
    </xdr:pic>
    <xdr:clientData/>
  </xdr:twoCellAnchor>
  <xdr:twoCellAnchor editAs="oneCell">
    <xdr:from>
      <xdr:col>0</xdr:col>
      <xdr:colOff>0</xdr:colOff>
      <xdr:row>122</xdr:row>
      <xdr:rowOff>0</xdr:rowOff>
    </xdr:from>
    <xdr:to>
      <xdr:col>7</xdr:col>
      <xdr:colOff>0</xdr:colOff>
      <xdr:row>140</xdr:row>
      <xdr:rowOff>133350</xdr:rowOff>
    </xdr:to>
    <xdr:pic>
      <xdr:nvPicPr>
        <xdr:cNvPr id="11302" name="Picture 38"/>
        <xdr:cNvPicPr>
          <a:picLocks noChangeAspect="1" noChangeArrowheads="1"/>
        </xdr:cNvPicPr>
      </xdr:nvPicPr>
      <xdr:blipFill>
        <a:blip xmlns:r="http://schemas.openxmlformats.org/officeDocument/2006/relationships" r:embed="rId13" cstate="print"/>
        <a:srcRect/>
        <a:stretch>
          <a:fillRect/>
        </a:stretch>
      </xdr:blipFill>
      <xdr:spPr bwMode="auto">
        <a:xfrm>
          <a:off x="0" y="20259675"/>
          <a:ext cx="7200900" cy="3819525"/>
        </a:xfrm>
        <a:prstGeom prst="rect">
          <a:avLst/>
        </a:prstGeom>
        <a:noFill/>
        <a:ln w="1">
          <a:noFill/>
          <a:miter lim="800000"/>
          <a:headEnd/>
          <a:tailEnd type="none" w="med" len="med"/>
        </a:ln>
        <a:effectLst/>
      </xdr:spPr>
    </xdr:pic>
    <xdr:clientData/>
  </xdr:twoCellAnchor>
  <xdr:twoCellAnchor editAs="oneCell">
    <xdr:from>
      <xdr:col>0</xdr:col>
      <xdr:colOff>9525</xdr:colOff>
      <xdr:row>141</xdr:row>
      <xdr:rowOff>85725</xdr:rowOff>
    </xdr:from>
    <xdr:to>
      <xdr:col>7</xdr:col>
      <xdr:colOff>0</xdr:colOff>
      <xdr:row>154</xdr:row>
      <xdr:rowOff>47625</xdr:rowOff>
    </xdr:to>
    <xdr:pic>
      <xdr:nvPicPr>
        <xdr:cNvPr id="11303" name="Picture 39"/>
        <xdr:cNvPicPr>
          <a:picLocks noChangeAspect="1" noChangeArrowheads="1"/>
        </xdr:cNvPicPr>
      </xdr:nvPicPr>
      <xdr:blipFill>
        <a:blip xmlns:r="http://schemas.openxmlformats.org/officeDocument/2006/relationships" r:embed="rId14" cstate="print"/>
        <a:srcRect/>
        <a:stretch>
          <a:fillRect/>
        </a:stretch>
      </xdr:blipFill>
      <xdr:spPr bwMode="auto">
        <a:xfrm>
          <a:off x="9525" y="24917400"/>
          <a:ext cx="7191375" cy="2686050"/>
        </a:xfrm>
        <a:prstGeom prst="rect">
          <a:avLst/>
        </a:prstGeom>
        <a:noFill/>
        <a:ln w="1">
          <a:noFill/>
          <a:miter lim="800000"/>
          <a:headEnd/>
          <a:tailEnd type="none" w="med" len="med"/>
        </a:ln>
        <a:effectLst/>
      </xdr:spPr>
    </xdr:pic>
    <xdr:clientData/>
  </xdr:twoCellAnchor>
  <xdr:twoCellAnchor editAs="oneCell">
    <xdr:from>
      <xdr:col>0</xdr:col>
      <xdr:colOff>9525</xdr:colOff>
      <xdr:row>156</xdr:row>
      <xdr:rowOff>0</xdr:rowOff>
    </xdr:from>
    <xdr:to>
      <xdr:col>6</xdr:col>
      <xdr:colOff>314325</xdr:colOff>
      <xdr:row>179</xdr:row>
      <xdr:rowOff>0</xdr:rowOff>
    </xdr:to>
    <xdr:pic>
      <xdr:nvPicPr>
        <xdr:cNvPr id="11304" name="Picture 40"/>
        <xdr:cNvPicPr>
          <a:picLocks noChangeAspect="1" noChangeArrowheads="1"/>
        </xdr:cNvPicPr>
      </xdr:nvPicPr>
      <xdr:blipFill>
        <a:blip xmlns:r="http://schemas.openxmlformats.org/officeDocument/2006/relationships" r:embed="rId15" cstate="print"/>
        <a:srcRect/>
        <a:stretch>
          <a:fillRect/>
        </a:stretch>
      </xdr:blipFill>
      <xdr:spPr bwMode="auto">
        <a:xfrm>
          <a:off x="9525" y="27136725"/>
          <a:ext cx="6848475" cy="4819650"/>
        </a:xfrm>
        <a:prstGeom prst="rect">
          <a:avLst/>
        </a:prstGeom>
        <a:noFill/>
        <a:ln w="1">
          <a:noFill/>
          <a:miter lim="800000"/>
          <a:headEnd/>
          <a:tailEnd type="none" w="med" len="med"/>
        </a:ln>
        <a:effectLst/>
      </xdr:spPr>
    </xdr:pic>
    <xdr:clientData/>
  </xdr:twoCellAnchor>
  <xdr:twoCellAnchor editAs="oneCell">
    <xdr:from>
      <xdr:col>0</xdr:col>
      <xdr:colOff>9525</xdr:colOff>
      <xdr:row>179</xdr:row>
      <xdr:rowOff>0</xdr:rowOff>
    </xdr:from>
    <xdr:to>
      <xdr:col>6</xdr:col>
      <xdr:colOff>314325</xdr:colOff>
      <xdr:row>206</xdr:row>
      <xdr:rowOff>133350</xdr:rowOff>
    </xdr:to>
    <xdr:pic>
      <xdr:nvPicPr>
        <xdr:cNvPr id="11305" name="Picture 41"/>
        <xdr:cNvPicPr>
          <a:picLocks noChangeAspect="1" noChangeArrowheads="1"/>
        </xdr:cNvPicPr>
      </xdr:nvPicPr>
      <xdr:blipFill>
        <a:blip xmlns:r="http://schemas.openxmlformats.org/officeDocument/2006/relationships" r:embed="rId16" cstate="print"/>
        <a:srcRect/>
        <a:stretch>
          <a:fillRect/>
        </a:stretch>
      </xdr:blipFill>
      <xdr:spPr bwMode="auto">
        <a:xfrm>
          <a:off x="9525" y="31956375"/>
          <a:ext cx="6848475" cy="5791200"/>
        </a:xfrm>
        <a:prstGeom prst="rect">
          <a:avLst/>
        </a:prstGeom>
        <a:noFill/>
        <a:ln w="1">
          <a:noFill/>
          <a:miter lim="800000"/>
          <a:headEnd/>
          <a:tailEnd type="none" w="med" len="med"/>
        </a:ln>
        <a:effectLst/>
      </xdr:spPr>
    </xdr:pic>
    <xdr:clientData/>
  </xdr:twoCellAnchor>
  <xdr:twoCellAnchor editAs="oneCell">
    <xdr:from>
      <xdr:col>0</xdr:col>
      <xdr:colOff>0</xdr:colOff>
      <xdr:row>206</xdr:row>
      <xdr:rowOff>123825</xdr:rowOff>
    </xdr:from>
    <xdr:to>
      <xdr:col>6</xdr:col>
      <xdr:colOff>314325</xdr:colOff>
      <xdr:row>229</xdr:row>
      <xdr:rowOff>28575</xdr:rowOff>
    </xdr:to>
    <xdr:pic>
      <xdr:nvPicPr>
        <xdr:cNvPr id="11306" name="Picture 42"/>
        <xdr:cNvPicPr>
          <a:picLocks noChangeAspect="1" noChangeArrowheads="1"/>
        </xdr:cNvPicPr>
      </xdr:nvPicPr>
      <xdr:blipFill>
        <a:blip xmlns:r="http://schemas.openxmlformats.org/officeDocument/2006/relationships" r:embed="rId17" cstate="print"/>
        <a:srcRect/>
        <a:stretch>
          <a:fillRect/>
        </a:stretch>
      </xdr:blipFill>
      <xdr:spPr bwMode="auto">
        <a:xfrm>
          <a:off x="0" y="37738050"/>
          <a:ext cx="6858000" cy="4724400"/>
        </a:xfrm>
        <a:prstGeom prst="rect">
          <a:avLst/>
        </a:prstGeom>
        <a:noFill/>
        <a:ln w="1">
          <a:noFill/>
          <a:miter lim="800000"/>
          <a:headEnd/>
          <a:tailEnd type="none" w="med" len="med"/>
        </a:ln>
        <a:effectLst/>
      </xdr:spPr>
    </xdr:pic>
    <xdr:clientData/>
  </xdr:twoCellAnchor>
  <xdr:twoCellAnchor editAs="oneCell">
    <xdr:from>
      <xdr:col>1</xdr:col>
      <xdr:colOff>1057275</xdr:colOff>
      <xdr:row>35</xdr:row>
      <xdr:rowOff>152400</xdr:rowOff>
    </xdr:from>
    <xdr:to>
      <xdr:col>3</xdr:col>
      <xdr:colOff>1181100</xdr:colOff>
      <xdr:row>39</xdr:row>
      <xdr:rowOff>171450</xdr:rowOff>
    </xdr:to>
    <xdr:pic>
      <xdr:nvPicPr>
        <xdr:cNvPr id="11307" name="Picture 43"/>
        <xdr:cNvPicPr>
          <a:picLocks noChangeAspect="1" noChangeArrowheads="1"/>
        </xdr:cNvPicPr>
      </xdr:nvPicPr>
      <xdr:blipFill>
        <a:blip xmlns:r="http://schemas.openxmlformats.org/officeDocument/2006/relationships" r:embed="rId18" cstate="print"/>
        <a:srcRect/>
        <a:stretch>
          <a:fillRect/>
        </a:stretch>
      </xdr:blipFill>
      <xdr:spPr bwMode="auto">
        <a:xfrm>
          <a:off x="2247900" y="7096125"/>
          <a:ext cx="2876550" cy="742950"/>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20" name="五边形 19">
          <a:hlinkClick xmlns:r="http://schemas.openxmlformats.org/officeDocument/2006/relationships" r:id="rId19"/>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9525</xdr:colOff>
      <xdr:row>137</xdr:row>
      <xdr:rowOff>85725</xdr:rowOff>
    </xdr:from>
    <xdr:to>
      <xdr:col>6</xdr:col>
      <xdr:colOff>95250</xdr:colOff>
      <xdr:row>148</xdr:row>
      <xdr:rowOff>47625</xdr:rowOff>
    </xdr:to>
    <xdr:pic>
      <xdr:nvPicPr>
        <xdr:cNvPr id="15" name="Picture 39"/>
        <xdr:cNvPicPr>
          <a:picLocks noChangeAspect="1" noChangeArrowheads="1"/>
        </xdr:cNvPicPr>
      </xdr:nvPicPr>
      <xdr:blipFill>
        <a:blip xmlns:r="http://schemas.openxmlformats.org/officeDocument/2006/relationships" r:embed="rId1" cstate="print"/>
        <a:srcRect/>
        <a:stretch>
          <a:fillRect/>
        </a:stretch>
      </xdr:blipFill>
      <xdr:spPr bwMode="auto">
        <a:xfrm>
          <a:off x="9525" y="26803350"/>
          <a:ext cx="7191375" cy="2686050"/>
        </a:xfrm>
        <a:prstGeom prst="rect">
          <a:avLst/>
        </a:prstGeom>
        <a:noFill/>
        <a:ln w="1">
          <a:noFill/>
          <a:miter lim="800000"/>
          <a:headEnd/>
          <a:tailEnd type="none" w="med" len="med"/>
        </a:ln>
        <a:effectLst/>
      </xdr:spPr>
    </xdr:pic>
    <xdr:clientData/>
  </xdr:twoCellAnchor>
  <xdr:twoCellAnchor editAs="oneCell">
    <xdr:from>
      <xdr:col>0</xdr:col>
      <xdr:colOff>9525</xdr:colOff>
      <xdr:row>152</xdr:row>
      <xdr:rowOff>0</xdr:rowOff>
    </xdr:from>
    <xdr:to>
      <xdr:col>5</xdr:col>
      <xdr:colOff>561975</xdr:colOff>
      <xdr:row>171</xdr:row>
      <xdr:rowOff>114300</xdr:rowOff>
    </xdr:to>
    <xdr:pic>
      <xdr:nvPicPr>
        <xdr:cNvPr id="16" name="Picture 40"/>
        <xdr:cNvPicPr>
          <a:picLocks noChangeAspect="1" noChangeArrowheads="1"/>
        </xdr:cNvPicPr>
      </xdr:nvPicPr>
      <xdr:blipFill>
        <a:blip xmlns:r="http://schemas.openxmlformats.org/officeDocument/2006/relationships" r:embed="rId2" cstate="print"/>
        <a:srcRect/>
        <a:stretch>
          <a:fillRect/>
        </a:stretch>
      </xdr:blipFill>
      <xdr:spPr bwMode="auto">
        <a:xfrm>
          <a:off x="9525" y="29860875"/>
          <a:ext cx="6848475" cy="4819650"/>
        </a:xfrm>
        <a:prstGeom prst="rect">
          <a:avLst/>
        </a:prstGeom>
        <a:noFill/>
        <a:ln w="1">
          <a:noFill/>
          <a:miter lim="800000"/>
          <a:headEnd/>
          <a:tailEnd type="none" w="med" len="med"/>
        </a:ln>
        <a:effectLst/>
      </xdr:spPr>
    </xdr:pic>
    <xdr:clientData/>
  </xdr:twoCellAnchor>
  <xdr:twoCellAnchor editAs="oneCell">
    <xdr:from>
      <xdr:col>0</xdr:col>
      <xdr:colOff>9525</xdr:colOff>
      <xdr:row>175</xdr:row>
      <xdr:rowOff>0</xdr:rowOff>
    </xdr:from>
    <xdr:to>
      <xdr:col>5</xdr:col>
      <xdr:colOff>561975</xdr:colOff>
      <xdr:row>198</xdr:row>
      <xdr:rowOff>95250</xdr:rowOff>
    </xdr:to>
    <xdr:pic>
      <xdr:nvPicPr>
        <xdr:cNvPr id="17" name="Picture 41"/>
        <xdr:cNvPicPr>
          <a:picLocks noChangeAspect="1" noChangeArrowheads="1"/>
        </xdr:cNvPicPr>
      </xdr:nvPicPr>
      <xdr:blipFill>
        <a:blip xmlns:r="http://schemas.openxmlformats.org/officeDocument/2006/relationships" r:embed="rId3" cstate="print"/>
        <a:srcRect/>
        <a:stretch>
          <a:fillRect/>
        </a:stretch>
      </xdr:blipFill>
      <xdr:spPr bwMode="auto">
        <a:xfrm>
          <a:off x="9525" y="34680525"/>
          <a:ext cx="6848475" cy="5791200"/>
        </a:xfrm>
        <a:prstGeom prst="rect">
          <a:avLst/>
        </a:prstGeom>
        <a:noFill/>
        <a:ln w="1">
          <a:noFill/>
          <a:miter lim="800000"/>
          <a:headEnd/>
          <a:tailEnd type="none" w="med" len="med"/>
        </a:ln>
        <a:effectLst/>
      </xdr:spPr>
    </xdr:pic>
    <xdr:clientData/>
  </xdr:twoCellAnchor>
  <xdr:twoCellAnchor editAs="oneCell">
    <xdr:from>
      <xdr:col>0</xdr:col>
      <xdr:colOff>0</xdr:colOff>
      <xdr:row>202</xdr:row>
      <xdr:rowOff>123825</xdr:rowOff>
    </xdr:from>
    <xdr:to>
      <xdr:col>5</xdr:col>
      <xdr:colOff>561975</xdr:colOff>
      <xdr:row>221</xdr:row>
      <xdr:rowOff>142875</xdr:rowOff>
    </xdr:to>
    <xdr:pic>
      <xdr:nvPicPr>
        <xdr:cNvPr id="18" name="Picture 42"/>
        <xdr:cNvPicPr>
          <a:picLocks noChangeAspect="1" noChangeArrowheads="1"/>
        </xdr:cNvPicPr>
      </xdr:nvPicPr>
      <xdr:blipFill>
        <a:blip xmlns:r="http://schemas.openxmlformats.org/officeDocument/2006/relationships" r:embed="rId4" cstate="print"/>
        <a:srcRect/>
        <a:stretch>
          <a:fillRect/>
        </a:stretch>
      </xdr:blipFill>
      <xdr:spPr bwMode="auto">
        <a:xfrm>
          <a:off x="0" y="40462200"/>
          <a:ext cx="6858000" cy="4724400"/>
        </a:xfrm>
        <a:prstGeom prst="rect">
          <a:avLst/>
        </a:prstGeom>
        <a:noFill/>
        <a:ln w="1">
          <a:noFill/>
          <a:miter lim="800000"/>
          <a:headEnd/>
          <a:tailEnd type="none" w="med" len="med"/>
        </a:ln>
        <a:effectLst/>
      </xdr:spPr>
    </xdr:pic>
    <xdr:clientData/>
  </xdr:twoCellAnchor>
  <xdr:twoCellAnchor editAs="oneCell">
    <xdr:from>
      <xdr:col>12</xdr:col>
      <xdr:colOff>438150</xdr:colOff>
      <xdr:row>23</xdr:row>
      <xdr:rowOff>0</xdr:rowOff>
    </xdr:from>
    <xdr:to>
      <xdr:col>13</xdr:col>
      <xdr:colOff>600982</xdr:colOff>
      <xdr:row>25</xdr:row>
      <xdr:rowOff>114300</xdr:rowOff>
    </xdr:to>
    <xdr:pic>
      <xdr:nvPicPr>
        <xdr:cNvPr id="12295" name="Picture 7"/>
        <xdr:cNvPicPr>
          <a:picLocks noChangeAspect="1" noChangeArrowheads="1"/>
        </xdr:cNvPicPr>
      </xdr:nvPicPr>
      <xdr:blipFill>
        <a:blip xmlns:r="http://schemas.openxmlformats.org/officeDocument/2006/relationships" r:embed="rId5" cstate="print"/>
        <a:srcRect/>
        <a:stretch>
          <a:fillRect/>
        </a:stretch>
      </xdr:blipFill>
      <xdr:spPr bwMode="auto">
        <a:xfrm>
          <a:off x="10925175" y="1562100"/>
          <a:ext cx="972457" cy="609600"/>
        </a:xfrm>
        <a:prstGeom prst="rect">
          <a:avLst/>
        </a:prstGeom>
        <a:noFill/>
        <a:ln w="1">
          <a:noFill/>
          <a:miter lim="800000"/>
          <a:headEnd/>
          <a:tailEnd type="none" w="med" len="med"/>
        </a:ln>
        <a:effectLst/>
      </xdr:spPr>
    </xdr:pic>
    <xdr:clientData/>
  </xdr:twoCellAnchor>
  <xdr:twoCellAnchor editAs="oneCell">
    <xdr:from>
      <xdr:col>5</xdr:col>
      <xdr:colOff>9525</xdr:colOff>
      <xdr:row>1</xdr:row>
      <xdr:rowOff>9525</xdr:rowOff>
    </xdr:from>
    <xdr:to>
      <xdr:col>8</xdr:col>
      <xdr:colOff>466725</xdr:colOff>
      <xdr:row>5</xdr:row>
      <xdr:rowOff>47625</xdr:rowOff>
    </xdr:to>
    <xdr:pic>
      <xdr:nvPicPr>
        <xdr:cNvPr id="12297"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6305550" y="257175"/>
          <a:ext cx="2886075" cy="1028700"/>
        </a:xfrm>
        <a:prstGeom prst="rect">
          <a:avLst/>
        </a:prstGeom>
        <a:noFill/>
        <a:ln w="1">
          <a:noFill/>
          <a:miter lim="800000"/>
          <a:headEnd/>
          <a:tailEnd type="none" w="med" len="med"/>
        </a:ln>
        <a:effectLst/>
      </xdr:spPr>
    </xdr:pic>
    <xdr:clientData/>
  </xdr:twoCellAnchor>
  <xdr:twoCellAnchor editAs="oneCell">
    <xdr:from>
      <xdr:col>5</xdr:col>
      <xdr:colOff>9525</xdr:colOff>
      <xdr:row>20</xdr:row>
      <xdr:rowOff>1</xdr:rowOff>
    </xdr:from>
    <xdr:to>
      <xdr:col>15</xdr:col>
      <xdr:colOff>276225</xdr:colOff>
      <xdr:row>37</xdr:row>
      <xdr:rowOff>204690</xdr:rowOff>
    </xdr:to>
    <xdr:pic>
      <xdr:nvPicPr>
        <xdr:cNvPr id="12304" name="Picture 16"/>
        <xdr:cNvPicPr>
          <a:picLocks noChangeAspect="1" noChangeArrowheads="1"/>
        </xdr:cNvPicPr>
      </xdr:nvPicPr>
      <xdr:blipFill>
        <a:blip xmlns:r="http://schemas.openxmlformats.org/officeDocument/2006/relationships" r:embed="rId7" cstate="print"/>
        <a:srcRect/>
        <a:stretch>
          <a:fillRect/>
        </a:stretch>
      </xdr:blipFill>
      <xdr:spPr bwMode="auto">
        <a:xfrm>
          <a:off x="6305550" y="4953001"/>
          <a:ext cx="8362950" cy="4414739"/>
        </a:xfrm>
        <a:prstGeom prst="rect">
          <a:avLst/>
        </a:prstGeom>
        <a:noFill/>
        <a:ln w="1">
          <a:noFill/>
          <a:miter lim="800000"/>
          <a:headEnd/>
          <a:tailEnd type="none" w="med" len="med"/>
        </a:ln>
        <a:effectLst/>
      </xdr:spPr>
    </xdr:pic>
    <xdr:clientData/>
  </xdr:twoCellAnchor>
  <xdr:twoCellAnchor editAs="oneCell">
    <xdr:from>
      <xdr:col>13</xdr:col>
      <xdr:colOff>9525</xdr:colOff>
      <xdr:row>12</xdr:row>
      <xdr:rowOff>9525</xdr:rowOff>
    </xdr:from>
    <xdr:to>
      <xdr:col>16</xdr:col>
      <xdr:colOff>485775</xdr:colOff>
      <xdr:row>19</xdr:row>
      <xdr:rowOff>362</xdr:rowOff>
    </xdr:to>
    <xdr:pic>
      <xdr:nvPicPr>
        <xdr:cNvPr id="12305" name="Picture 17"/>
        <xdr:cNvPicPr>
          <a:picLocks noChangeAspect="1" noChangeArrowheads="1"/>
        </xdr:cNvPicPr>
      </xdr:nvPicPr>
      <xdr:blipFill>
        <a:blip xmlns:r="http://schemas.openxmlformats.org/officeDocument/2006/relationships" r:embed="rId8" cstate="print"/>
        <a:srcRect/>
        <a:stretch>
          <a:fillRect/>
        </a:stretch>
      </xdr:blipFill>
      <xdr:spPr bwMode="auto">
        <a:xfrm>
          <a:off x="12782550" y="2981325"/>
          <a:ext cx="2905125" cy="1724387"/>
        </a:xfrm>
        <a:prstGeom prst="rect">
          <a:avLst/>
        </a:prstGeom>
        <a:noFill/>
        <a:ln w="1">
          <a:noFill/>
          <a:miter lim="800000"/>
          <a:headEnd/>
          <a:tailEnd type="none" w="med" len="med"/>
        </a:ln>
        <a:effectLst/>
      </xdr:spPr>
    </xdr:pic>
    <xdr:clientData/>
  </xdr:twoCellAnchor>
  <xdr:twoCellAnchor editAs="oneCell">
    <xdr:from>
      <xdr:col>5</xdr:col>
      <xdr:colOff>0</xdr:colOff>
      <xdr:row>40</xdr:row>
      <xdr:rowOff>0</xdr:rowOff>
    </xdr:from>
    <xdr:to>
      <xdr:col>10</xdr:col>
      <xdr:colOff>276225</xdr:colOff>
      <xdr:row>47</xdr:row>
      <xdr:rowOff>85725</xdr:rowOff>
    </xdr:to>
    <xdr:pic>
      <xdr:nvPicPr>
        <xdr:cNvPr id="12306" name="Picture 18"/>
        <xdr:cNvPicPr>
          <a:picLocks noChangeAspect="1" noChangeArrowheads="1"/>
        </xdr:cNvPicPr>
      </xdr:nvPicPr>
      <xdr:blipFill>
        <a:blip xmlns:r="http://schemas.openxmlformats.org/officeDocument/2006/relationships" r:embed="rId9" cstate="print"/>
        <a:srcRect/>
        <a:stretch>
          <a:fillRect/>
        </a:stretch>
      </xdr:blipFill>
      <xdr:spPr bwMode="auto">
        <a:xfrm>
          <a:off x="6296025" y="10153650"/>
          <a:ext cx="4324350" cy="1819275"/>
        </a:xfrm>
        <a:prstGeom prst="rect">
          <a:avLst/>
        </a:prstGeom>
        <a:noFill/>
        <a:ln w="1">
          <a:noFill/>
          <a:miter lim="800000"/>
          <a:headEnd/>
          <a:tailEnd type="none" w="med" len="med"/>
        </a:ln>
        <a:effectLst/>
      </xdr:spPr>
    </xdr:pic>
    <xdr:clientData/>
  </xdr:twoCellAnchor>
  <xdr:twoCellAnchor editAs="oneCell">
    <xdr:from>
      <xdr:col>10</xdr:col>
      <xdr:colOff>390525</xdr:colOff>
      <xdr:row>40</xdr:row>
      <xdr:rowOff>38100</xdr:rowOff>
    </xdr:from>
    <xdr:to>
      <xdr:col>12</xdr:col>
      <xdr:colOff>561975</xdr:colOff>
      <xdr:row>44</xdr:row>
      <xdr:rowOff>219075</xdr:rowOff>
    </xdr:to>
    <xdr:pic>
      <xdr:nvPicPr>
        <xdr:cNvPr id="12308" name="Picture 20"/>
        <xdr:cNvPicPr>
          <a:picLocks noChangeAspect="1" noChangeArrowheads="1"/>
        </xdr:cNvPicPr>
      </xdr:nvPicPr>
      <xdr:blipFill>
        <a:blip xmlns:r="http://schemas.openxmlformats.org/officeDocument/2006/relationships" r:embed="rId10" cstate="print"/>
        <a:srcRect/>
        <a:stretch>
          <a:fillRect/>
        </a:stretch>
      </xdr:blipFill>
      <xdr:spPr bwMode="auto">
        <a:xfrm>
          <a:off x="10734675" y="10191750"/>
          <a:ext cx="1790700" cy="1171575"/>
        </a:xfrm>
        <a:prstGeom prst="rect">
          <a:avLst/>
        </a:prstGeom>
        <a:noFill/>
        <a:ln w="1">
          <a:noFill/>
          <a:miter lim="800000"/>
          <a:headEnd/>
          <a:tailEnd type="none" w="med" len="med"/>
        </a:ln>
        <a:effectLst/>
      </xdr:spPr>
    </xdr:pic>
    <xdr:clientData/>
  </xdr:twoCellAnchor>
  <xdr:twoCellAnchor editAs="oneCell">
    <xdr:from>
      <xdr:col>0</xdr:col>
      <xdr:colOff>0</xdr:colOff>
      <xdr:row>51</xdr:row>
      <xdr:rowOff>9524</xdr:rowOff>
    </xdr:from>
    <xdr:to>
      <xdr:col>4</xdr:col>
      <xdr:colOff>247649</xdr:colOff>
      <xdr:row>65</xdr:row>
      <xdr:rowOff>247649</xdr:rowOff>
    </xdr:to>
    <xdr:pic>
      <xdr:nvPicPr>
        <xdr:cNvPr id="12309" name="Picture 21"/>
        <xdr:cNvPicPr>
          <a:picLocks noChangeAspect="1" noChangeArrowheads="1"/>
        </xdr:cNvPicPr>
      </xdr:nvPicPr>
      <xdr:blipFill>
        <a:blip xmlns:r="http://schemas.openxmlformats.org/officeDocument/2006/relationships" r:embed="rId11" cstate="print"/>
        <a:srcRect/>
        <a:stretch>
          <a:fillRect/>
        </a:stretch>
      </xdr:blipFill>
      <xdr:spPr bwMode="auto">
        <a:xfrm>
          <a:off x="0" y="11896724"/>
          <a:ext cx="5943599" cy="3705225"/>
        </a:xfrm>
        <a:prstGeom prst="rect">
          <a:avLst/>
        </a:prstGeom>
        <a:noFill/>
        <a:ln w="1">
          <a:noFill/>
          <a:miter lim="800000"/>
          <a:headEnd/>
          <a:tailEnd type="none" w="med" len="med"/>
        </a:ln>
        <a:effectLst/>
      </xdr:spPr>
    </xdr:pic>
    <xdr:clientData/>
  </xdr:twoCellAnchor>
  <xdr:twoCellAnchor editAs="oneCell">
    <xdr:from>
      <xdr:col>5</xdr:col>
      <xdr:colOff>0</xdr:colOff>
      <xdr:row>49</xdr:row>
      <xdr:rowOff>0</xdr:rowOff>
    </xdr:from>
    <xdr:to>
      <xdr:col>14</xdr:col>
      <xdr:colOff>781050</xdr:colOff>
      <xdr:row>58</xdr:row>
      <xdr:rowOff>9525</xdr:rowOff>
    </xdr:to>
    <xdr:pic>
      <xdr:nvPicPr>
        <xdr:cNvPr id="12310" name="Picture 22"/>
        <xdr:cNvPicPr>
          <a:picLocks noChangeAspect="1" noChangeArrowheads="1"/>
        </xdr:cNvPicPr>
      </xdr:nvPicPr>
      <xdr:blipFill>
        <a:blip xmlns:r="http://schemas.openxmlformats.org/officeDocument/2006/relationships" r:embed="rId12" cstate="print"/>
        <a:srcRect/>
        <a:stretch>
          <a:fillRect/>
        </a:stretch>
      </xdr:blipFill>
      <xdr:spPr bwMode="auto">
        <a:xfrm>
          <a:off x="6296025" y="12134850"/>
          <a:ext cx="8067675" cy="2238375"/>
        </a:xfrm>
        <a:prstGeom prst="rect">
          <a:avLst/>
        </a:prstGeom>
        <a:noFill/>
        <a:ln w="1">
          <a:noFill/>
          <a:miter lim="800000"/>
          <a:headEnd/>
          <a:tailEnd type="none" w="med" len="med"/>
        </a:ln>
        <a:effectLst/>
      </xdr:spPr>
    </xdr:pic>
    <xdr:clientData/>
  </xdr:twoCellAnchor>
  <xdr:twoCellAnchor editAs="oneCell">
    <xdr:from>
      <xdr:col>3</xdr:col>
      <xdr:colOff>9526</xdr:colOff>
      <xdr:row>3</xdr:row>
      <xdr:rowOff>9524</xdr:rowOff>
    </xdr:from>
    <xdr:to>
      <xdr:col>4</xdr:col>
      <xdr:colOff>0</xdr:colOff>
      <xdr:row>6</xdr:row>
      <xdr:rowOff>38100</xdr:rowOff>
    </xdr:to>
    <xdr:pic>
      <xdr:nvPicPr>
        <xdr:cNvPr id="12313" name="Picture 25"/>
        <xdr:cNvPicPr>
          <a:picLocks noChangeAspect="1" noChangeArrowheads="1"/>
        </xdr:cNvPicPr>
      </xdr:nvPicPr>
      <xdr:blipFill>
        <a:blip xmlns:r="http://schemas.openxmlformats.org/officeDocument/2006/relationships" r:embed="rId13" cstate="print"/>
        <a:srcRect/>
        <a:stretch>
          <a:fillRect/>
        </a:stretch>
      </xdr:blipFill>
      <xdr:spPr bwMode="auto">
        <a:xfrm>
          <a:off x="4362451" y="752474"/>
          <a:ext cx="1333499" cy="771526"/>
        </a:xfrm>
        <a:prstGeom prst="rect">
          <a:avLst/>
        </a:prstGeom>
        <a:noFill/>
        <a:ln w="1">
          <a:noFill/>
          <a:miter lim="800000"/>
          <a:headEnd/>
          <a:tailEnd type="none" w="med" len="med"/>
        </a:ln>
        <a:effectLst/>
      </xdr:spPr>
    </xdr:pic>
    <xdr:clientData/>
  </xdr:twoCellAnchor>
  <xdr:twoCellAnchor editAs="oneCell">
    <xdr:from>
      <xdr:col>0</xdr:col>
      <xdr:colOff>171450</xdr:colOff>
      <xdr:row>37</xdr:row>
      <xdr:rowOff>66675</xdr:rowOff>
    </xdr:from>
    <xdr:to>
      <xdr:col>1</xdr:col>
      <xdr:colOff>1469197</xdr:colOff>
      <xdr:row>42</xdr:row>
      <xdr:rowOff>123824</xdr:rowOff>
    </xdr:to>
    <xdr:pic>
      <xdr:nvPicPr>
        <xdr:cNvPr id="12314" name="Picture 26"/>
        <xdr:cNvPicPr>
          <a:picLocks noChangeAspect="1" noChangeArrowheads="1"/>
        </xdr:cNvPicPr>
      </xdr:nvPicPr>
      <xdr:blipFill>
        <a:blip xmlns:r="http://schemas.openxmlformats.org/officeDocument/2006/relationships" r:embed="rId14" cstate="print"/>
        <a:srcRect/>
        <a:stretch>
          <a:fillRect/>
        </a:stretch>
      </xdr:blipFill>
      <xdr:spPr bwMode="auto">
        <a:xfrm>
          <a:off x="171450" y="7991475"/>
          <a:ext cx="2488372" cy="1295399"/>
        </a:xfrm>
        <a:prstGeom prst="rect">
          <a:avLst/>
        </a:prstGeom>
        <a:noFill/>
        <a:ln w="1">
          <a:noFill/>
          <a:miter lim="800000"/>
          <a:headEnd/>
          <a:tailEnd type="none" w="med" len="med"/>
        </a:ln>
        <a:effectLst/>
      </xdr:spPr>
    </xdr:pic>
    <xdr:clientData/>
  </xdr:twoCellAnchor>
  <xdr:twoCellAnchor editAs="oneCell">
    <xdr:from>
      <xdr:col>1</xdr:col>
      <xdr:colOff>1847849</xdr:colOff>
      <xdr:row>34</xdr:row>
      <xdr:rowOff>17197</xdr:rowOff>
    </xdr:from>
    <xdr:to>
      <xdr:col>3</xdr:col>
      <xdr:colOff>971550</xdr:colOff>
      <xdr:row>39</xdr:row>
      <xdr:rowOff>123825</xdr:rowOff>
    </xdr:to>
    <xdr:pic>
      <xdr:nvPicPr>
        <xdr:cNvPr id="12315" name="Picture 27"/>
        <xdr:cNvPicPr>
          <a:picLocks noChangeAspect="1" noChangeArrowheads="1"/>
        </xdr:cNvPicPr>
      </xdr:nvPicPr>
      <xdr:blipFill>
        <a:blip xmlns:r="http://schemas.openxmlformats.org/officeDocument/2006/relationships" r:embed="rId15" cstate="print"/>
        <a:srcRect/>
        <a:stretch>
          <a:fillRect/>
        </a:stretch>
      </xdr:blipFill>
      <xdr:spPr bwMode="auto">
        <a:xfrm>
          <a:off x="3038474" y="7199047"/>
          <a:ext cx="2286001" cy="1344878"/>
        </a:xfrm>
        <a:prstGeom prst="rect">
          <a:avLst/>
        </a:prstGeom>
        <a:noFill/>
        <a:ln w="1">
          <a:noFill/>
          <a:miter lim="800000"/>
          <a:headEnd/>
          <a:tailEnd type="none" w="med" len="med"/>
        </a:ln>
        <a:effectLst/>
      </xdr:spPr>
    </xdr:pic>
    <xdr:clientData/>
  </xdr:twoCellAnchor>
  <xdr:twoCellAnchor editAs="oneCell">
    <xdr:from>
      <xdr:col>1</xdr:col>
      <xdr:colOff>1600200</xdr:colOff>
      <xdr:row>38</xdr:row>
      <xdr:rowOff>209551</xdr:rowOff>
    </xdr:from>
    <xdr:to>
      <xdr:col>3</xdr:col>
      <xdr:colOff>1076325</xdr:colOff>
      <xdr:row>44</xdr:row>
      <xdr:rowOff>209551</xdr:rowOff>
    </xdr:to>
    <xdr:pic>
      <xdr:nvPicPr>
        <xdr:cNvPr id="12316" name="Picture 28"/>
        <xdr:cNvPicPr>
          <a:picLocks noChangeAspect="1" noChangeArrowheads="1"/>
        </xdr:cNvPicPr>
      </xdr:nvPicPr>
      <xdr:blipFill>
        <a:blip xmlns:r="http://schemas.openxmlformats.org/officeDocument/2006/relationships" r:embed="rId16" cstate="print"/>
        <a:srcRect/>
        <a:stretch>
          <a:fillRect/>
        </a:stretch>
      </xdr:blipFill>
      <xdr:spPr bwMode="auto">
        <a:xfrm>
          <a:off x="2790825" y="8382001"/>
          <a:ext cx="2638425" cy="1485900"/>
        </a:xfrm>
        <a:prstGeom prst="rect">
          <a:avLst/>
        </a:prstGeom>
        <a:noFill/>
        <a:ln w="1">
          <a:noFill/>
          <a:miter lim="800000"/>
          <a:headEnd/>
          <a:tailEnd type="none" w="med" len="med"/>
        </a:ln>
        <a:effectLst/>
      </xdr:spPr>
    </xdr:pic>
    <xdr:clientData/>
  </xdr:twoCellAnchor>
  <xdr:twoCellAnchor editAs="oneCell">
    <xdr:from>
      <xdr:col>0</xdr:col>
      <xdr:colOff>371475</xdr:colOff>
      <xdr:row>36</xdr:row>
      <xdr:rowOff>38100</xdr:rowOff>
    </xdr:from>
    <xdr:to>
      <xdr:col>1</xdr:col>
      <xdr:colOff>638175</xdr:colOff>
      <xdr:row>37</xdr:row>
      <xdr:rowOff>209550</xdr:rowOff>
    </xdr:to>
    <xdr:pic>
      <xdr:nvPicPr>
        <xdr:cNvPr id="12317" name="Picture 29"/>
        <xdr:cNvPicPr>
          <a:picLocks noChangeAspect="1" noChangeArrowheads="1"/>
        </xdr:cNvPicPr>
      </xdr:nvPicPr>
      <xdr:blipFill>
        <a:blip xmlns:r="http://schemas.openxmlformats.org/officeDocument/2006/relationships" r:embed="rId17" cstate="print"/>
        <a:srcRect/>
        <a:stretch>
          <a:fillRect/>
        </a:stretch>
      </xdr:blipFill>
      <xdr:spPr bwMode="auto">
        <a:xfrm>
          <a:off x="371475" y="7715250"/>
          <a:ext cx="1457325" cy="419100"/>
        </a:xfrm>
        <a:prstGeom prst="rect">
          <a:avLst/>
        </a:prstGeom>
        <a:noFill/>
        <a:ln w="1">
          <a:noFill/>
          <a:miter lim="800000"/>
          <a:headEnd/>
          <a:tailEnd type="none" w="med" len="med"/>
        </a:ln>
        <a:effectLst/>
      </xdr:spPr>
    </xdr:pic>
    <xdr:clientData/>
  </xdr:twoCellAnchor>
  <xdr:twoCellAnchor editAs="oneCell">
    <xdr:from>
      <xdr:col>8</xdr:col>
      <xdr:colOff>542925</xdr:colOff>
      <xdr:row>0</xdr:row>
      <xdr:rowOff>0</xdr:rowOff>
    </xdr:from>
    <xdr:to>
      <xdr:col>16</xdr:col>
      <xdr:colOff>171450</xdr:colOff>
      <xdr:row>6</xdr:row>
      <xdr:rowOff>152400</xdr:rowOff>
    </xdr:to>
    <xdr:pic>
      <xdr:nvPicPr>
        <xdr:cNvPr id="12318" name="Picture 30"/>
        <xdr:cNvPicPr>
          <a:picLocks noChangeAspect="1" noChangeArrowheads="1"/>
        </xdr:cNvPicPr>
      </xdr:nvPicPr>
      <xdr:blipFill>
        <a:blip xmlns:r="http://schemas.openxmlformats.org/officeDocument/2006/relationships" r:embed="rId18" cstate="print"/>
        <a:srcRect/>
        <a:stretch>
          <a:fillRect/>
        </a:stretch>
      </xdr:blipFill>
      <xdr:spPr bwMode="auto">
        <a:xfrm>
          <a:off x="9267825" y="0"/>
          <a:ext cx="6105525" cy="1666875"/>
        </a:xfrm>
        <a:prstGeom prst="rect">
          <a:avLst/>
        </a:prstGeom>
        <a:noFill/>
        <a:ln w="1">
          <a:noFill/>
          <a:miter lim="800000"/>
          <a:headEnd/>
          <a:tailEnd type="none" w="med" len="med"/>
        </a:ln>
        <a:effectLst/>
      </xdr:spPr>
    </xdr:pic>
    <xdr:clientData/>
  </xdr:twoCellAnchor>
  <xdr:twoCellAnchor editAs="oneCell">
    <xdr:from>
      <xdr:col>3</xdr:col>
      <xdr:colOff>9526</xdr:colOff>
      <xdr:row>6</xdr:row>
      <xdr:rowOff>66675</xdr:rowOff>
    </xdr:from>
    <xdr:to>
      <xdr:col>4</xdr:col>
      <xdr:colOff>1</xdr:colOff>
      <xdr:row>8</xdr:row>
      <xdr:rowOff>236048</xdr:rowOff>
    </xdr:to>
    <xdr:pic>
      <xdr:nvPicPr>
        <xdr:cNvPr id="12319" name="Picture 31"/>
        <xdr:cNvPicPr>
          <a:picLocks noChangeAspect="1" noChangeArrowheads="1"/>
        </xdr:cNvPicPr>
      </xdr:nvPicPr>
      <xdr:blipFill>
        <a:blip xmlns:r="http://schemas.openxmlformats.org/officeDocument/2006/relationships" r:embed="rId19" cstate="print"/>
        <a:srcRect/>
        <a:stretch>
          <a:fillRect/>
        </a:stretch>
      </xdr:blipFill>
      <xdr:spPr bwMode="auto">
        <a:xfrm>
          <a:off x="4362451" y="1552575"/>
          <a:ext cx="1333500" cy="664673"/>
        </a:xfrm>
        <a:prstGeom prst="rect">
          <a:avLst/>
        </a:prstGeom>
        <a:noFill/>
        <a:ln w="1">
          <a:noFill/>
          <a:miter lim="800000"/>
          <a:headEnd/>
          <a:tailEnd type="none" w="med" len="med"/>
        </a:ln>
        <a:effectLst/>
      </xdr:spPr>
    </xdr:pic>
    <xdr:clientData/>
  </xdr:twoCellAnchor>
  <xdr:twoCellAnchor editAs="oneCell">
    <xdr:from>
      <xdr:col>15</xdr:col>
      <xdr:colOff>266700</xdr:colOff>
      <xdr:row>20</xdr:row>
      <xdr:rowOff>200025</xdr:rowOff>
    </xdr:from>
    <xdr:to>
      <xdr:col>19</xdr:col>
      <xdr:colOff>447675</xdr:colOff>
      <xdr:row>28</xdr:row>
      <xdr:rowOff>66675</xdr:rowOff>
    </xdr:to>
    <xdr:pic>
      <xdr:nvPicPr>
        <xdr:cNvPr id="12290" name="Picture 2"/>
        <xdr:cNvPicPr>
          <a:picLocks noChangeAspect="1" noChangeArrowheads="1"/>
        </xdr:cNvPicPr>
      </xdr:nvPicPr>
      <xdr:blipFill>
        <a:blip xmlns:r="http://schemas.openxmlformats.org/officeDocument/2006/relationships" r:embed="rId20" cstate="print"/>
        <a:srcRect/>
        <a:stretch>
          <a:fillRect/>
        </a:stretch>
      </xdr:blipFill>
      <xdr:spPr bwMode="auto">
        <a:xfrm>
          <a:off x="14658975" y="5153025"/>
          <a:ext cx="3419475" cy="1847850"/>
        </a:xfrm>
        <a:prstGeom prst="rect">
          <a:avLst/>
        </a:prstGeom>
        <a:noFill/>
        <a:ln w="1">
          <a:noFill/>
          <a:miter lim="800000"/>
          <a:headEnd/>
          <a:tailEnd type="none" w="med" len="med"/>
        </a:ln>
        <a:effectLst/>
      </xdr:spPr>
    </xdr:pic>
    <xdr:clientData/>
  </xdr:twoCellAnchor>
  <xdr:twoCellAnchor editAs="oneCell">
    <xdr:from>
      <xdr:col>15</xdr:col>
      <xdr:colOff>276225</xdr:colOff>
      <xdr:row>28</xdr:row>
      <xdr:rowOff>76200</xdr:rowOff>
    </xdr:from>
    <xdr:to>
      <xdr:col>21</xdr:col>
      <xdr:colOff>352425</xdr:colOff>
      <xdr:row>34</xdr:row>
      <xdr:rowOff>114300</xdr:rowOff>
    </xdr:to>
    <xdr:pic>
      <xdr:nvPicPr>
        <xdr:cNvPr id="12291" name="Picture 3"/>
        <xdr:cNvPicPr>
          <a:picLocks noChangeAspect="1" noChangeArrowheads="1"/>
        </xdr:cNvPicPr>
      </xdr:nvPicPr>
      <xdr:blipFill>
        <a:blip xmlns:r="http://schemas.openxmlformats.org/officeDocument/2006/relationships" r:embed="rId21" cstate="print"/>
        <a:srcRect/>
        <a:stretch>
          <a:fillRect/>
        </a:stretch>
      </xdr:blipFill>
      <xdr:spPr bwMode="auto">
        <a:xfrm>
          <a:off x="14668500" y="7010400"/>
          <a:ext cx="4781550" cy="1524000"/>
        </a:xfrm>
        <a:prstGeom prst="rect">
          <a:avLst/>
        </a:prstGeom>
        <a:noFill/>
        <a:ln w="1">
          <a:noFill/>
          <a:miter lim="800000"/>
          <a:headEnd/>
          <a:tailEnd type="none" w="med" len="med"/>
        </a:ln>
        <a:effectLst/>
      </xdr:spPr>
    </xdr:pic>
    <xdr:clientData/>
  </xdr:twoCellAnchor>
  <xdr:twoCellAnchor editAs="oneCell">
    <xdr:from>
      <xdr:col>0</xdr:col>
      <xdr:colOff>0</xdr:colOff>
      <xdr:row>66</xdr:row>
      <xdr:rowOff>0</xdr:rowOff>
    </xdr:from>
    <xdr:to>
      <xdr:col>3</xdr:col>
      <xdr:colOff>142875</xdr:colOff>
      <xdr:row>87</xdr:row>
      <xdr:rowOff>171450</xdr:rowOff>
    </xdr:to>
    <xdr:pic>
      <xdr:nvPicPr>
        <xdr:cNvPr id="24" name="Picture 1"/>
        <xdr:cNvPicPr>
          <a:picLocks noChangeAspect="1" noChangeArrowheads="1"/>
        </xdr:cNvPicPr>
      </xdr:nvPicPr>
      <xdr:blipFill>
        <a:blip xmlns:r="http://schemas.openxmlformats.org/officeDocument/2006/relationships" r:embed="rId22" cstate="print"/>
        <a:srcRect/>
        <a:stretch>
          <a:fillRect/>
        </a:stretch>
      </xdr:blipFill>
      <xdr:spPr bwMode="auto">
        <a:xfrm>
          <a:off x="0" y="16344900"/>
          <a:ext cx="4495800" cy="5372100"/>
        </a:xfrm>
        <a:prstGeom prst="rect">
          <a:avLst/>
        </a:prstGeom>
        <a:noFill/>
        <a:ln w="1">
          <a:noFill/>
          <a:miter lim="800000"/>
          <a:headEnd/>
          <a:tailEnd type="none" w="med" len="med"/>
        </a:ln>
        <a:effectLst/>
      </xdr:spPr>
    </xdr:pic>
    <xdr:clientData/>
  </xdr:twoCellAnchor>
  <xdr:twoCellAnchor editAs="oneCell">
    <xdr:from>
      <xdr:col>5</xdr:col>
      <xdr:colOff>0</xdr:colOff>
      <xdr:row>60</xdr:row>
      <xdr:rowOff>0</xdr:rowOff>
    </xdr:from>
    <xdr:to>
      <xdr:col>16</xdr:col>
      <xdr:colOff>695325</xdr:colOff>
      <xdr:row>65</xdr:row>
      <xdr:rowOff>66675</xdr:rowOff>
    </xdr:to>
    <xdr:pic>
      <xdr:nvPicPr>
        <xdr:cNvPr id="12292" name="Picture 4"/>
        <xdr:cNvPicPr>
          <a:picLocks noChangeAspect="1" noChangeArrowheads="1"/>
        </xdr:cNvPicPr>
      </xdr:nvPicPr>
      <xdr:blipFill>
        <a:blip xmlns:r="http://schemas.openxmlformats.org/officeDocument/2006/relationships" r:embed="rId23" cstate="print"/>
        <a:srcRect/>
        <a:stretch>
          <a:fillRect/>
        </a:stretch>
      </xdr:blipFill>
      <xdr:spPr bwMode="auto">
        <a:xfrm>
          <a:off x="6296025" y="14859000"/>
          <a:ext cx="9601200" cy="130492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26" name="五边形 25">
          <a:hlinkClick xmlns:r="http://schemas.openxmlformats.org/officeDocument/2006/relationships" r:id="rId24"/>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638175</xdr:colOff>
      <xdr:row>1</xdr:row>
      <xdr:rowOff>133350</xdr:rowOff>
    </xdr:from>
    <xdr:to>
      <xdr:col>8</xdr:col>
      <xdr:colOff>190500</xdr:colOff>
      <xdr:row>3</xdr:row>
      <xdr:rowOff>133350</xdr:rowOff>
    </xdr:to>
    <xdr:sp macro="" textlink="">
      <xdr:nvSpPr>
        <xdr:cNvPr id="25" name="圆角矩形 24"/>
        <xdr:cNvSpPr/>
      </xdr:nvSpPr>
      <xdr:spPr>
        <a:xfrm rot="-900000">
          <a:off x="7667625" y="381000"/>
          <a:ext cx="1171575" cy="495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zh-CN" altLang="en-US" sz="1100" b="0"/>
        </a:p>
      </xdr:txBody>
    </xdr:sp>
    <xdr:clientData/>
  </xdr:twoCellAnchor>
  <xdr:twoCellAnchor>
    <xdr:from>
      <xdr:col>6</xdr:col>
      <xdr:colOff>371476</xdr:colOff>
      <xdr:row>2</xdr:row>
      <xdr:rowOff>200025</xdr:rowOff>
    </xdr:from>
    <xdr:to>
      <xdr:col>7</xdr:col>
      <xdr:colOff>381001</xdr:colOff>
      <xdr:row>3</xdr:row>
      <xdr:rowOff>85725</xdr:rowOff>
    </xdr:to>
    <xdr:sp macro="" textlink="">
      <xdr:nvSpPr>
        <xdr:cNvPr id="27" name="矩形 26"/>
        <xdr:cNvSpPr/>
      </xdr:nvSpPr>
      <xdr:spPr>
        <a:xfrm rot="-900000">
          <a:off x="7400926" y="695325"/>
          <a:ext cx="819150" cy="1333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lang="zh-CN" altLang="en-US" sz="1100"/>
        </a:p>
      </xdr:txBody>
    </xdr:sp>
    <xdr:clientData/>
  </xdr:twoCellAnchor>
  <xdr:twoCellAnchor>
    <xdr:from>
      <xdr:col>5</xdr:col>
      <xdr:colOff>714375</xdr:colOff>
      <xdr:row>2</xdr:row>
      <xdr:rowOff>133350</xdr:rowOff>
    </xdr:from>
    <xdr:to>
      <xdr:col>6</xdr:col>
      <xdr:colOff>390525</xdr:colOff>
      <xdr:row>4</xdr:row>
      <xdr:rowOff>200025</xdr:rowOff>
    </xdr:to>
    <xdr:sp macro="" textlink="">
      <xdr:nvSpPr>
        <xdr:cNvPr id="28" name="矩形 27"/>
        <xdr:cNvSpPr/>
      </xdr:nvSpPr>
      <xdr:spPr>
        <a:xfrm rot="-900000">
          <a:off x="6934200" y="628650"/>
          <a:ext cx="485775" cy="56197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zh-CN" altLang="en-US" sz="1100"/>
        </a:p>
      </xdr:txBody>
    </xdr:sp>
    <xdr:clientData/>
  </xdr:twoCellAnchor>
  <xdr:oneCellAnchor>
    <xdr:from>
      <xdr:col>7</xdr:col>
      <xdr:colOff>247650</xdr:colOff>
      <xdr:row>1</xdr:row>
      <xdr:rowOff>95248</xdr:rowOff>
    </xdr:from>
    <xdr:ext cx="857250" cy="390527"/>
    <xdr:sp macro="" textlink="">
      <xdr:nvSpPr>
        <xdr:cNvPr id="30" name="矩形 29"/>
        <xdr:cNvSpPr/>
      </xdr:nvSpPr>
      <xdr:spPr>
        <a:xfrm rot="-900000">
          <a:off x="8086725" y="342898"/>
          <a:ext cx="857250" cy="390527"/>
        </a:xfrm>
        <a:prstGeom prst="rect">
          <a:avLst/>
        </a:prstGeom>
        <a:noFill/>
      </xdr:spPr>
      <xdr:txBody>
        <a:bodyPr wrap="square" lIns="91440" tIns="45720" rIns="91440" bIns="45720">
          <a:no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zh-CN" altLang="en-US" sz="18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rPr>
            <a:t>气缸</a:t>
          </a:r>
        </a:p>
      </xdr:txBody>
    </xdr:sp>
    <xdr:clientData/>
  </xdr:oneCellAnchor>
  <xdr:oneCellAnchor>
    <xdr:from>
      <xdr:col>5</xdr:col>
      <xdr:colOff>419100</xdr:colOff>
      <xdr:row>2</xdr:row>
      <xdr:rowOff>209550</xdr:rowOff>
    </xdr:from>
    <xdr:ext cx="1085850" cy="685801"/>
    <xdr:sp macro="" textlink="">
      <xdr:nvSpPr>
        <xdr:cNvPr id="31" name="矩形 30"/>
        <xdr:cNvSpPr/>
      </xdr:nvSpPr>
      <xdr:spPr>
        <a:xfrm rot="-900000">
          <a:off x="6638925" y="704850"/>
          <a:ext cx="1085850" cy="685801"/>
        </a:xfrm>
        <a:prstGeom prst="rect">
          <a:avLst/>
        </a:prstGeom>
        <a:noFill/>
      </xdr:spPr>
      <xdr:txBody>
        <a:bodyPr wrap="square" lIns="91440" tIns="45720" rIns="91440" bIns="45720">
          <a:no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zh-CN" altLang="en-US" sz="18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rPr>
            <a:t>负载</a:t>
          </a:r>
          <a:endParaRPr lang="en-US" altLang="zh-CN" sz="18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endParaRPr>
        </a:p>
        <a:p>
          <a:pPr algn="ctr"/>
          <a:endParaRPr lang="en-US" altLang="zh-CN" sz="18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endParaRPr>
        </a:p>
      </xdr:txBody>
    </xdr:sp>
    <xdr:clientData/>
  </xdr:oneCellAnchor>
  <xdr:twoCellAnchor>
    <xdr:from>
      <xdr:col>7</xdr:col>
      <xdr:colOff>285750</xdr:colOff>
      <xdr:row>1</xdr:row>
      <xdr:rowOff>152400</xdr:rowOff>
    </xdr:from>
    <xdr:to>
      <xdr:col>7</xdr:col>
      <xdr:colOff>428625</xdr:colOff>
      <xdr:row>3</xdr:row>
      <xdr:rowOff>152400</xdr:rowOff>
    </xdr:to>
    <xdr:sp macro="" textlink="">
      <xdr:nvSpPr>
        <xdr:cNvPr id="26" name="矩形 25"/>
        <xdr:cNvSpPr/>
      </xdr:nvSpPr>
      <xdr:spPr>
        <a:xfrm rot="-900000">
          <a:off x="8124825" y="400050"/>
          <a:ext cx="142875" cy="4953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lang="zh-CN" altLang="en-US" sz="1100"/>
        </a:p>
      </xdr:txBody>
    </xdr:sp>
    <xdr:clientData/>
  </xdr:twoCellAnchor>
  <xdr:twoCellAnchor>
    <xdr:from>
      <xdr:col>5</xdr:col>
      <xdr:colOff>261178</xdr:colOff>
      <xdr:row>5</xdr:row>
      <xdr:rowOff>1820</xdr:rowOff>
    </xdr:from>
    <xdr:to>
      <xdr:col>6</xdr:col>
      <xdr:colOff>729873</xdr:colOff>
      <xdr:row>5</xdr:row>
      <xdr:rowOff>100493</xdr:rowOff>
    </xdr:to>
    <xdr:sp macro="" textlink="">
      <xdr:nvSpPr>
        <xdr:cNvPr id="29" name="矩形 28"/>
        <xdr:cNvSpPr/>
      </xdr:nvSpPr>
      <xdr:spPr>
        <a:xfrm rot="-900000">
          <a:off x="6481003" y="1240070"/>
          <a:ext cx="1278320" cy="9867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pPr algn="ctr"/>
          <a:endParaRPr lang="zh-CN" altLang="en-US" sz="1100"/>
        </a:p>
      </xdr:txBody>
    </xdr:sp>
    <xdr:clientData/>
  </xdr:twoCellAnchor>
  <xdr:oneCellAnchor>
    <xdr:from>
      <xdr:col>5</xdr:col>
      <xdr:colOff>485775</xdr:colOff>
      <xdr:row>4</xdr:row>
      <xdr:rowOff>133350</xdr:rowOff>
    </xdr:from>
    <xdr:ext cx="1085850" cy="276225"/>
    <xdr:sp macro="" textlink="">
      <xdr:nvSpPr>
        <xdr:cNvPr id="41" name="矩形 40"/>
        <xdr:cNvSpPr/>
      </xdr:nvSpPr>
      <xdr:spPr>
        <a:xfrm rot="-900000">
          <a:off x="6705600" y="1123950"/>
          <a:ext cx="1085850" cy="276225"/>
        </a:xfrm>
        <a:prstGeom prst="rect">
          <a:avLst/>
        </a:prstGeom>
        <a:noFill/>
      </xdr:spPr>
      <xdr:txBody>
        <a:bodyPr wrap="square" lIns="91440" tIns="45720" rIns="91440" bIns="45720">
          <a:no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zh-CN" altLang="en-US" sz="12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rPr>
            <a:t>导      轨</a:t>
          </a:r>
          <a:endParaRPr lang="en-US" altLang="zh-CN" sz="12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endParaRPr>
        </a:p>
      </xdr:txBody>
    </xdr:sp>
    <xdr:clientData/>
  </xdr:oneCellAnchor>
  <xdr:twoCellAnchor editAs="oneCell">
    <xdr:from>
      <xdr:col>13</xdr:col>
      <xdr:colOff>323850</xdr:colOff>
      <xdr:row>2</xdr:row>
      <xdr:rowOff>66675</xdr:rowOff>
    </xdr:from>
    <xdr:to>
      <xdr:col>21</xdr:col>
      <xdr:colOff>419100</xdr:colOff>
      <xdr:row>7</xdr:row>
      <xdr:rowOff>123825</xdr:rowOff>
    </xdr:to>
    <xdr:pic>
      <xdr:nvPicPr>
        <xdr:cNvPr id="12291"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14716125" y="561975"/>
          <a:ext cx="6115050" cy="1295400"/>
        </a:xfrm>
        <a:prstGeom prst="rect">
          <a:avLst/>
        </a:prstGeom>
        <a:noFill/>
        <a:ln w="1">
          <a:noFill/>
          <a:miter lim="800000"/>
          <a:headEnd/>
          <a:tailEnd type="none" w="med" len="med"/>
        </a:ln>
        <a:effectLst/>
      </xdr:spPr>
    </xdr:pic>
    <xdr:clientData/>
  </xdr:twoCellAnchor>
  <xdr:twoCellAnchor editAs="oneCell">
    <xdr:from>
      <xdr:col>5</xdr:col>
      <xdr:colOff>19051</xdr:colOff>
      <xdr:row>12</xdr:row>
      <xdr:rowOff>9525</xdr:rowOff>
    </xdr:from>
    <xdr:to>
      <xdr:col>12</xdr:col>
      <xdr:colOff>790576</xdr:colOff>
      <xdr:row>29</xdr:row>
      <xdr:rowOff>19050</xdr:rowOff>
    </xdr:to>
    <xdr:pic>
      <xdr:nvPicPr>
        <xdr:cNvPr id="12294" name="Picture 6"/>
        <xdr:cNvPicPr>
          <a:picLocks noChangeAspect="1" noChangeArrowheads="1"/>
        </xdr:cNvPicPr>
      </xdr:nvPicPr>
      <xdr:blipFill>
        <a:blip xmlns:r="http://schemas.openxmlformats.org/officeDocument/2006/relationships" r:embed="rId2" cstate="print"/>
        <a:srcRect/>
        <a:stretch>
          <a:fillRect/>
        </a:stretch>
      </xdr:blipFill>
      <xdr:spPr bwMode="auto">
        <a:xfrm>
          <a:off x="6238876" y="2981325"/>
          <a:ext cx="6438900" cy="4219575"/>
        </a:xfrm>
        <a:prstGeom prst="rect">
          <a:avLst/>
        </a:prstGeom>
        <a:noFill/>
        <a:ln w="1">
          <a:noFill/>
          <a:miter lim="800000"/>
          <a:headEnd/>
          <a:tailEnd type="none" w="med" len="med"/>
        </a:ln>
        <a:effectLst/>
      </xdr:spPr>
    </xdr:pic>
    <xdr:clientData/>
  </xdr:twoCellAnchor>
  <xdr:twoCellAnchor editAs="oneCell">
    <xdr:from>
      <xdr:col>5</xdr:col>
      <xdr:colOff>9525</xdr:colOff>
      <xdr:row>46</xdr:row>
      <xdr:rowOff>9526</xdr:rowOff>
    </xdr:from>
    <xdr:to>
      <xdr:col>11</xdr:col>
      <xdr:colOff>771525</xdr:colOff>
      <xdr:row>65</xdr:row>
      <xdr:rowOff>47626</xdr:rowOff>
    </xdr:to>
    <xdr:pic>
      <xdr:nvPicPr>
        <xdr:cNvPr id="12301" name="Picture 13"/>
        <xdr:cNvPicPr>
          <a:picLocks noChangeAspect="1" noChangeArrowheads="1"/>
        </xdr:cNvPicPr>
      </xdr:nvPicPr>
      <xdr:blipFill>
        <a:blip xmlns:r="http://schemas.openxmlformats.org/officeDocument/2006/relationships" r:embed="rId3" cstate="print"/>
        <a:srcRect/>
        <a:stretch>
          <a:fillRect/>
        </a:stretch>
      </xdr:blipFill>
      <xdr:spPr bwMode="auto">
        <a:xfrm>
          <a:off x="6229350" y="11401426"/>
          <a:ext cx="5619750" cy="4743450"/>
        </a:xfrm>
        <a:prstGeom prst="rect">
          <a:avLst/>
        </a:prstGeom>
        <a:noFill/>
        <a:ln w="1">
          <a:noFill/>
          <a:miter lim="800000"/>
          <a:headEnd/>
          <a:tailEnd type="none" w="med" len="med"/>
        </a:ln>
        <a:effectLst/>
      </xdr:spPr>
    </xdr:pic>
    <xdr:clientData/>
  </xdr:twoCellAnchor>
  <xdr:twoCellAnchor editAs="oneCell">
    <xdr:from>
      <xdr:col>5</xdr:col>
      <xdr:colOff>9525</xdr:colOff>
      <xdr:row>67</xdr:row>
      <xdr:rowOff>9525</xdr:rowOff>
    </xdr:from>
    <xdr:to>
      <xdr:col>12</xdr:col>
      <xdr:colOff>781050</xdr:colOff>
      <xdr:row>75</xdr:row>
      <xdr:rowOff>241643</xdr:rowOff>
    </xdr:to>
    <xdr:pic>
      <xdr:nvPicPr>
        <xdr:cNvPr id="12303" name="Picture 15"/>
        <xdr:cNvPicPr>
          <a:picLocks noChangeAspect="1" noChangeArrowheads="1"/>
        </xdr:cNvPicPr>
      </xdr:nvPicPr>
      <xdr:blipFill>
        <a:blip xmlns:r="http://schemas.openxmlformats.org/officeDocument/2006/relationships" r:embed="rId4" cstate="print"/>
        <a:srcRect/>
        <a:stretch>
          <a:fillRect/>
        </a:stretch>
      </xdr:blipFill>
      <xdr:spPr bwMode="auto">
        <a:xfrm>
          <a:off x="6229350" y="16602075"/>
          <a:ext cx="6438900" cy="2213318"/>
        </a:xfrm>
        <a:prstGeom prst="rect">
          <a:avLst/>
        </a:prstGeom>
        <a:noFill/>
        <a:ln w="1">
          <a:noFill/>
          <a:miter lim="800000"/>
          <a:headEnd/>
          <a:tailEnd type="none" w="med" len="med"/>
        </a:ln>
        <a:effectLst/>
      </xdr:spPr>
    </xdr:pic>
    <xdr:clientData/>
  </xdr:twoCellAnchor>
  <xdr:twoCellAnchor editAs="oneCell">
    <xdr:from>
      <xdr:col>5</xdr:col>
      <xdr:colOff>9525</xdr:colOff>
      <xdr:row>78</xdr:row>
      <xdr:rowOff>9525</xdr:rowOff>
    </xdr:from>
    <xdr:to>
      <xdr:col>12</xdr:col>
      <xdr:colOff>761999</xdr:colOff>
      <xdr:row>101</xdr:row>
      <xdr:rowOff>209550</xdr:rowOff>
    </xdr:to>
    <xdr:pic>
      <xdr:nvPicPr>
        <xdr:cNvPr id="12304" name="Picture 16"/>
        <xdr:cNvPicPr>
          <a:picLocks noChangeAspect="1" noChangeArrowheads="1"/>
        </xdr:cNvPicPr>
      </xdr:nvPicPr>
      <xdr:blipFill>
        <a:blip xmlns:r="http://schemas.openxmlformats.org/officeDocument/2006/relationships" r:embed="rId5" cstate="print"/>
        <a:srcRect/>
        <a:stretch>
          <a:fillRect/>
        </a:stretch>
      </xdr:blipFill>
      <xdr:spPr bwMode="auto">
        <a:xfrm>
          <a:off x="6229350" y="19326225"/>
          <a:ext cx="6419849" cy="5895975"/>
        </a:xfrm>
        <a:prstGeom prst="rect">
          <a:avLst/>
        </a:prstGeom>
        <a:noFill/>
        <a:ln w="1">
          <a:noFill/>
          <a:miter lim="800000"/>
          <a:headEnd/>
          <a:tailEnd type="none" w="med" len="med"/>
        </a:ln>
        <a:effectLst/>
      </xdr:spPr>
    </xdr:pic>
    <xdr:clientData/>
  </xdr:twoCellAnchor>
  <xdr:twoCellAnchor editAs="oneCell">
    <xdr:from>
      <xdr:col>5</xdr:col>
      <xdr:colOff>9525</xdr:colOff>
      <xdr:row>104</xdr:row>
      <xdr:rowOff>0</xdr:rowOff>
    </xdr:from>
    <xdr:to>
      <xdr:col>12</xdr:col>
      <xdr:colOff>95250</xdr:colOff>
      <xdr:row>119</xdr:row>
      <xdr:rowOff>238125</xdr:rowOff>
    </xdr:to>
    <xdr:pic>
      <xdr:nvPicPr>
        <xdr:cNvPr id="12305" name="Picture 17"/>
        <xdr:cNvPicPr>
          <a:picLocks noChangeAspect="1" noChangeArrowheads="1"/>
        </xdr:cNvPicPr>
      </xdr:nvPicPr>
      <xdr:blipFill>
        <a:blip xmlns:r="http://schemas.openxmlformats.org/officeDocument/2006/relationships" r:embed="rId6" cstate="print"/>
        <a:srcRect/>
        <a:stretch>
          <a:fillRect/>
        </a:stretch>
      </xdr:blipFill>
      <xdr:spPr bwMode="auto">
        <a:xfrm>
          <a:off x="6305550" y="30460950"/>
          <a:ext cx="5753100" cy="3952875"/>
        </a:xfrm>
        <a:prstGeom prst="rect">
          <a:avLst/>
        </a:prstGeom>
        <a:noFill/>
        <a:ln w="1">
          <a:noFill/>
          <a:miter lim="800000"/>
          <a:headEnd/>
          <a:tailEnd type="none" w="med" len="med"/>
        </a:ln>
        <a:effectLst/>
      </xdr:spPr>
    </xdr:pic>
    <xdr:clientData/>
  </xdr:twoCellAnchor>
  <xdr:twoCellAnchor editAs="oneCell">
    <xdr:from>
      <xdr:col>11</xdr:col>
      <xdr:colOff>609600</xdr:colOff>
      <xdr:row>46</xdr:row>
      <xdr:rowOff>76200</xdr:rowOff>
    </xdr:from>
    <xdr:to>
      <xdr:col>13</xdr:col>
      <xdr:colOff>9525</xdr:colOff>
      <xdr:row>64</xdr:row>
      <xdr:rowOff>95250</xdr:rowOff>
    </xdr:to>
    <xdr:pic>
      <xdr:nvPicPr>
        <xdr:cNvPr id="12306" name="Picture 18"/>
        <xdr:cNvPicPr>
          <a:picLocks noChangeAspect="1" noChangeArrowheads="1"/>
        </xdr:cNvPicPr>
      </xdr:nvPicPr>
      <xdr:blipFill>
        <a:blip xmlns:r="http://schemas.openxmlformats.org/officeDocument/2006/relationships" r:embed="rId7" cstate="print"/>
        <a:srcRect/>
        <a:stretch>
          <a:fillRect/>
        </a:stretch>
      </xdr:blipFill>
      <xdr:spPr bwMode="auto">
        <a:xfrm>
          <a:off x="11687175" y="11468100"/>
          <a:ext cx="1019175" cy="4476750"/>
        </a:xfrm>
        <a:prstGeom prst="rect">
          <a:avLst/>
        </a:prstGeom>
        <a:noFill/>
        <a:ln w="1">
          <a:noFill/>
          <a:miter lim="800000"/>
          <a:headEnd/>
          <a:tailEnd type="none" w="med" len="med"/>
        </a:ln>
        <a:effectLst/>
      </xdr:spPr>
    </xdr:pic>
    <xdr:clientData/>
  </xdr:twoCellAnchor>
  <xdr:twoCellAnchor editAs="oneCell">
    <xdr:from>
      <xdr:col>5</xdr:col>
      <xdr:colOff>0</xdr:colOff>
      <xdr:row>31</xdr:row>
      <xdr:rowOff>0</xdr:rowOff>
    </xdr:from>
    <xdr:to>
      <xdr:col>12</xdr:col>
      <xdr:colOff>781050</xdr:colOff>
      <xdr:row>44</xdr:row>
      <xdr:rowOff>28575</xdr:rowOff>
    </xdr:to>
    <xdr:pic>
      <xdr:nvPicPr>
        <xdr:cNvPr id="12307" name="Picture 19"/>
        <xdr:cNvPicPr>
          <a:picLocks noChangeAspect="1" noChangeArrowheads="1"/>
        </xdr:cNvPicPr>
      </xdr:nvPicPr>
      <xdr:blipFill>
        <a:blip xmlns:r="http://schemas.openxmlformats.org/officeDocument/2006/relationships" r:embed="rId8" cstate="print"/>
        <a:srcRect/>
        <a:stretch>
          <a:fillRect/>
        </a:stretch>
      </xdr:blipFill>
      <xdr:spPr bwMode="auto">
        <a:xfrm>
          <a:off x="6219825" y="7677150"/>
          <a:ext cx="6448425" cy="3248025"/>
        </a:xfrm>
        <a:prstGeom prst="rect">
          <a:avLst/>
        </a:prstGeom>
        <a:noFill/>
        <a:ln w="1">
          <a:noFill/>
          <a:miter lim="800000"/>
          <a:headEnd/>
          <a:tailEnd type="none" w="med" len="med"/>
        </a:ln>
        <a:effectLst/>
      </xdr:spPr>
    </xdr:pic>
    <xdr:clientData/>
  </xdr:twoCellAnchor>
  <xdr:twoCellAnchor editAs="oneCell">
    <xdr:from>
      <xdr:col>20</xdr:col>
      <xdr:colOff>523875</xdr:colOff>
      <xdr:row>42</xdr:row>
      <xdr:rowOff>228600</xdr:rowOff>
    </xdr:from>
    <xdr:to>
      <xdr:col>23</xdr:col>
      <xdr:colOff>342900</xdr:colOff>
      <xdr:row>47</xdr:row>
      <xdr:rowOff>161925</xdr:rowOff>
    </xdr:to>
    <xdr:pic>
      <xdr:nvPicPr>
        <xdr:cNvPr id="12308" name="Picture 20"/>
        <xdr:cNvPicPr>
          <a:picLocks noChangeAspect="1" noChangeArrowheads="1"/>
        </xdr:cNvPicPr>
      </xdr:nvPicPr>
      <xdr:blipFill>
        <a:blip xmlns:r="http://schemas.openxmlformats.org/officeDocument/2006/relationships" r:embed="rId9" cstate="print"/>
        <a:srcRect/>
        <a:stretch>
          <a:fillRect/>
        </a:stretch>
      </xdr:blipFill>
      <xdr:spPr bwMode="auto">
        <a:xfrm>
          <a:off x="20278725" y="10629900"/>
          <a:ext cx="1790700" cy="1171575"/>
        </a:xfrm>
        <a:prstGeom prst="rect">
          <a:avLst/>
        </a:prstGeom>
        <a:noFill/>
        <a:ln w="1">
          <a:noFill/>
          <a:miter lim="800000"/>
          <a:headEnd/>
          <a:tailEnd type="none" w="med" len="med"/>
        </a:ln>
        <a:effectLst/>
      </xdr:spPr>
    </xdr:pic>
    <xdr:clientData/>
  </xdr:twoCellAnchor>
  <xdr:twoCellAnchor editAs="oneCell">
    <xdr:from>
      <xdr:col>13</xdr:col>
      <xdr:colOff>323850</xdr:colOff>
      <xdr:row>43</xdr:row>
      <xdr:rowOff>0</xdr:rowOff>
    </xdr:from>
    <xdr:to>
      <xdr:col>20</xdr:col>
      <xdr:colOff>504825</xdr:colOff>
      <xdr:row>59</xdr:row>
      <xdr:rowOff>85725</xdr:rowOff>
    </xdr:to>
    <xdr:pic>
      <xdr:nvPicPr>
        <xdr:cNvPr id="12309" name="Picture 21"/>
        <xdr:cNvPicPr>
          <a:picLocks noChangeAspect="1" noChangeArrowheads="1"/>
        </xdr:cNvPicPr>
      </xdr:nvPicPr>
      <xdr:blipFill>
        <a:blip xmlns:r="http://schemas.openxmlformats.org/officeDocument/2006/relationships" r:embed="rId10" cstate="print"/>
        <a:srcRect/>
        <a:stretch>
          <a:fillRect/>
        </a:stretch>
      </xdr:blipFill>
      <xdr:spPr bwMode="auto">
        <a:xfrm>
          <a:off x="14716125" y="10648950"/>
          <a:ext cx="5543550" cy="4048125"/>
        </a:xfrm>
        <a:prstGeom prst="rect">
          <a:avLst/>
        </a:prstGeom>
        <a:noFill/>
        <a:ln w="1">
          <a:noFill/>
          <a:miter lim="800000"/>
          <a:headEnd/>
          <a:tailEnd type="none" w="med" len="med"/>
        </a:ln>
        <a:effectLst/>
      </xdr:spPr>
    </xdr:pic>
    <xdr:clientData/>
  </xdr:twoCellAnchor>
  <xdr:twoCellAnchor editAs="oneCell">
    <xdr:from>
      <xdr:col>13</xdr:col>
      <xdr:colOff>323850</xdr:colOff>
      <xdr:row>9</xdr:row>
      <xdr:rowOff>1</xdr:rowOff>
    </xdr:from>
    <xdr:to>
      <xdr:col>21</xdr:col>
      <xdr:colOff>58383</xdr:colOff>
      <xdr:row>29</xdr:row>
      <xdr:rowOff>1</xdr:rowOff>
    </xdr:to>
    <xdr:pic>
      <xdr:nvPicPr>
        <xdr:cNvPr id="12315" name="Picture 27"/>
        <xdr:cNvPicPr>
          <a:picLocks noChangeAspect="1" noChangeArrowheads="1"/>
        </xdr:cNvPicPr>
      </xdr:nvPicPr>
      <xdr:blipFill>
        <a:blip xmlns:r="http://schemas.openxmlformats.org/officeDocument/2006/relationships" r:embed="rId11" cstate="print"/>
        <a:srcRect/>
        <a:stretch>
          <a:fillRect/>
        </a:stretch>
      </xdr:blipFill>
      <xdr:spPr bwMode="auto">
        <a:xfrm>
          <a:off x="14716125" y="2228851"/>
          <a:ext cx="5754333" cy="4953000"/>
        </a:xfrm>
        <a:prstGeom prst="rect">
          <a:avLst/>
        </a:prstGeom>
        <a:noFill/>
        <a:ln w="1">
          <a:noFill/>
          <a:miter lim="800000"/>
          <a:headEnd/>
          <a:tailEnd type="none" w="med" len="med"/>
        </a:ln>
        <a:effectLst/>
      </xdr:spPr>
    </xdr:pic>
    <xdr:clientData/>
  </xdr:twoCellAnchor>
  <xdr:twoCellAnchor editAs="oneCell">
    <xdr:from>
      <xdr:col>13</xdr:col>
      <xdr:colOff>333375</xdr:colOff>
      <xdr:row>30</xdr:row>
      <xdr:rowOff>0</xdr:rowOff>
    </xdr:from>
    <xdr:to>
      <xdr:col>27</xdr:col>
      <xdr:colOff>152400</xdr:colOff>
      <xdr:row>42</xdr:row>
      <xdr:rowOff>47625</xdr:rowOff>
    </xdr:to>
    <xdr:pic>
      <xdr:nvPicPr>
        <xdr:cNvPr id="12316" name="Picture 28"/>
        <xdr:cNvPicPr>
          <a:picLocks noChangeAspect="1" noChangeArrowheads="1"/>
        </xdr:cNvPicPr>
      </xdr:nvPicPr>
      <xdr:blipFill>
        <a:blip xmlns:r="http://schemas.openxmlformats.org/officeDocument/2006/relationships" r:embed="rId12" cstate="print"/>
        <a:srcRect/>
        <a:stretch>
          <a:fillRect/>
        </a:stretch>
      </xdr:blipFill>
      <xdr:spPr bwMode="auto">
        <a:xfrm>
          <a:off x="14725650" y="7429500"/>
          <a:ext cx="10848975" cy="3019425"/>
        </a:xfrm>
        <a:prstGeom prst="rect">
          <a:avLst/>
        </a:prstGeom>
        <a:noFill/>
        <a:ln w="1">
          <a:noFill/>
          <a:miter lim="800000"/>
          <a:headEnd/>
          <a:tailEnd type="none" w="med" len="med"/>
        </a:ln>
        <a:effectLst/>
      </xdr:spPr>
    </xdr:pic>
    <xdr:clientData/>
  </xdr:twoCellAnchor>
  <xdr:twoCellAnchor editAs="oneCell">
    <xdr:from>
      <xdr:col>13</xdr:col>
      <xdr:colOff>323850</xdr:colOff>
      <xdr:row>61</xdr:row>
      <xdr:rowOff>0</xdr:rowOff>
    </xdr:from>
    <xdr:to>
      <xdr:col>22</xdr:col>
      <xdr:colOff>114300</xdr:colOff>
      <xdr:row>88</xdr:row>
      <xdr:rowOff>171450</xdr:rowOff>
    </xdr:to>
    <xdr:pic>
      <xdr:nvPicPr>
        <xdr:cNvPr id="12317" name="Picture 29"/>
        <xdr:cNvPicPr>
          <a:picLocks noChangeAspect="1" noChangeArrowheads="1"/>
        </xdr:cNvPicPr>
      </xdr:nvPicPr>
      <xdr:blipFill>
        <a:blip xmlns:r="http://schemas.openxmlformats.org/officeDocument/2006/relationships" r:embed="rId13" cstate="print"/>
        <a:srcRect/>
        <a:stretch>
          <a:fillRect/>
        </a:stretch>
      </xdr:blipFill>
      <xdr:spPr bwMode="auto">
        <a:xfrm>
          <a:off x="14716125" y="15106650"/>
          <a:ext cx="6467475" cy="6858000"/>
        </a:xfrm>
        <a:prstGeom prst="rect">
          <a:avLst/>
        </a:prstGeom>
        <a:noFill/>
        <a:ln w="1">
          <a:noFill/>
          <a:miter lim="800000"/>
          <a:headEnd/>
          <a:tailEnd type="none" w="med" len="med"/>
        </a:ln>
        <a:effectLst/>
      </xdr:spPr>
    </xdr:pic>
    <xdr:clientData/>
  </xdr:twoCellAnchor>
  <xdr:twoCellAnchor editAs="oneCell">
    <xdr:from>
      <xdr:col>0</xdr:col>
      <xdr:colOff>0</xdr:colOff>
      <xdr:row>37</xdr:row>
      <xdr:rowOff>9525</xdr:rowOff>
    </xdr:from>
    <xdr:to>
      <xdr:col>4</xdr:col>
      <xdr:colOff>495300</xdr:colOff>
      <xdr:row>41</xdr:row>
      <xdr:rowOff>209550</xdr:rowOff>
    </xdr:to>
    <xdr:pic>
      <xdr:nvPicPr>
        <xdr:cNvPr id="12321" name="Picture 33"/>
        <xdr:cNvPicPr>
          <a:picLocks noChangeAspect="1" noChangeArrowheads="1"/>
        </xdr:cNvPicPr>
      </xdr:nvPicPr>
      <xdr:blipFill>
        <a:blip xmlns:r="http://schemas.openxmlformats.org/officeDocument/2006/relationships" r:embed="rId14" cstate="print"/>
        <a:srcRect/>
        <a:stretch>
          <a:fillRect/>
        </a:stretch>
      </xdr:blipFill>
      <xdr:spPr bwMode="auto">
        <a:xfrm>
          <a:off x="0" y="7686675"/>
          <a:ext cx="6115050" cy="1190625"/>
        </a:xfrm>
        <a:prstGeom prst="rect">
          <a:avLst/>
        </a:prstGeom>
        <a:noFill/>
        <a:ln w="1">
          <a:noFill/>
          <a:miter lim="800000"/>
          <a:headEnd/>
          <a:tailEnd type="none" w="med" len="med"/>
        </a:ln>
        <a:effectLst/>
      </xdr:spPr>
    </xdr:pic>
    <xdr:clientData/>
  </xdr:twoCellAnchor>
  <xdr:twoCellAnchor>
    <xdr:from>
      <xdr:col>4</xdr:col>
      <xdr:colOff>504826</xdr:colOff>
      <xdr:row>6</xdr:row>
      <xdr:rowOff>47625</xdr:rowOff>
    </xdr:from>
    <xdr:to>
      <xdr:col>8</xdr:col>
      <xdr:colOff>514350</xdr:colOff>
      <xdr:row>6</xdr:row>
      <xdr:rowOff>93344</xdr:rowOff>
    </xdr:to>
    <xdr:sp macro="" textlink="">
      <xdr:nvSpPr>
        <xdr:cNvPr id="40" name="矩形 39"/>
        <xdr:cNvSpPr/>
      </xdr:nvSpPr>
      <xdr:spPr>
        <a:xfrm>
          <a:off x="6124576" y="1533525"/>
          <a:ext cx="3038474"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zh-CN" altLang="en-US" sz="1100"/>
        </a:p>
      </xdr:txBody>
    </xdr:sp>
    <xdr:clientData/>
  </xdr:twoCellAnchor>
  <xdr:oneCellAnchor>
    <xdr:from>
      <xdr:col>6</xdr:col>
      <xdr:colOff>700097</xdr:colOff>
      <xdr:row>4</xdr:row>
      <xdr:rowOff>82867</xdr:rowOff>
    </xdr:from>
    <xdr:ext cx="352404" cy="468013"/>
    <xdr:sp macro="" textlink="">
      <xdr:nvSpPr>
        <xdr:cNvPr id="42" name="矩形 41"/>
        <xdr:cNvSpPr/>
      </xdr:nvSpPr>
      <xdr:spPr>
        <a:xfrm>
          <a:off x="7729547" y="1073467"/>
          <a:ext cx="352404" cy="468013"/>
        </a:xfrm>
        <a:prstGeom prst="rect">
          <a:avLst/>
        </a:prstGeom>
        <a:noFill/>
      </xdr:spPr>
      <xdr:txBody>
        <a:bodyPr wrap="none" lIns="91440" tIns="45720" rIns="91440" bIns="45720">
          <a:spAutoFit/>
        </a:bodyPr>
        <a:lstStyle/>
        <a:p>
          <a:pPr algn="ctr"/>
          <a:r>
            <a:rPr lang="el-GR" altLang="zh-CN" sz="24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θ</a:t>
          </a:r>
          <a:endParaRPr lang="zh-CN" altLang="en-US" sz="24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endParaRPr>
        </a:p>
      </xdr:txBody>
    </xdr:sp>
    <xdr:clientData/>
  </xdr:oneCellAnchor>
  <xdr:twoCellAnchor>
    <xdr:from>
      <xdr:col>6</xdr:col>
      <xdr:colOff>587397</xdr:colOff>
      <xdr:row>4</xdr:row>
      <xdr:rowOff>161085</xdr:rowOff>
    </xdr:from>
    <xdr:to>
      <xdr:col>6</xdr:col>
      <xdr:colOff>741824</xdr:colOff>
      <xdr:row>6</xdr:row>
      <xdr:rowOff>111432</xdr:rowOff>
    </xdr:to>
    <xdr:sp macro="" textlink="">
      <xdr:nvSpPr>
        <xdr:cNvPr id="55" name="环形箭头 54"/>
        <xdr:cNvSpPr/>
      </xdr:nvSpPr>
      <xdr:spPr>
        <a:xfrm rot="4500000">
          <a:off x="7471237" y="1297295"/>
          <a:ext cx="445647" cy="154427"/>
        </a:xfrm>
        <a:prstGeom prst="circular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zh-CN" altLang="en-US" sz="1100">
            <a:solidFill>
              <a:schemeClr val="tx1"/>
            </a:solidFill>
          </a:endParaRPr>
        </a:p>
      </xdr:txBody>
    </xdr:sp>
    <xdr:clientData/>
  </xdr:twoCellAnchor>
  <xdr:twoCellAnchor editAs="oneCell">
    <xdr:from>
      <xdr:col>8</xdr:col>
      <xdr:colOff>514350</xdr:colOff>
      <xdr:row>0</xdr:row>
      <xdr:rowOff>0</xdr:rowOff>
    </xdr:from>
    <xdr:to>
      <xdr:col>12</xdr:col>
      <xdr:colOff>678732</xdr:colOff>
      <xdr:row>7</xdr:row>
      <xdr:rowOff>142875</xdr:rowOff>
    </xdr:to>
    <xdr:pic>
      <xdr:nvPicPr>
        <xdr:cNvPr id="13314" name="Picture 2"/>
        <xdr:cNvPicPr>
          <a:picLocks noChangeAspect="1" noChangeArrowheads="1"/>
        </xdr:cNvPicPr>
      </xdr:nvPicPr>
      <xdr:blipFill>
        <a:blip xmlns:r="http://schemas.openxmlformats.org/officeDocument/2006/relationships" r:embed="rId15" cstate="print"/>
        <a:srcRect/>
        <a:stretch>
          <a:fillRect/>
        </a:stretch>
      </xdr:blipFill>
      <xdr:spPr bwMode="auto">
        <a:xfrm>
          <a:off x="9163050" y="0"/>
          <a:ext cx="3402882" cy="1905000"/>
        </a:xfrm>
        <a:prstGeom prst="rect">
          <a:avLst/>
        </a:prstGeom>
        <a:noFill/>
        <a:ln w="1">
          <a:noFill/>
          <a:miter lim="800000"/>
          <a:headEnd/>
          <a:tailEnd type="none" w="med" len="med"/>
        </a:ln>
        <a:effectLst/>
      </xdr:spPr>
    </xdr:pic>
    <xdr:clientData/>
  </xdr:twoCellAnchor>
  <xdr:oneCellAnchor>
    <xdr:from>
      <xdr:col>9</xdr:col>
      <xdr:colOff>771525</xdr:colOff>
      <xdr:row>3</xdr:row>
      <xdr:rowOff>171450</xdr:rowOff>
    </xdr:from>
    <xdr:ext cx="1563313" cy="325730"/>
    <xdr:sp macro="" textlink="">
      <xdr:nvSpPr>
        <xdr:cNvPr id="59" name="TextBox 58"/>
        <xdr:cNvSpPr txBox="1"/>
      </xdr:nvSpPr>
      <xdr:spPr>
        <a:xfrm>
          <a:off x="10229850" y="914400"/>
          <a:ext cx="1563313"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400" b="1"/>
            <a:t>面   积    </a:t>
          </a:r>
          <a:r>
            <a:rPr lang="en-US" altLang="zh-CN" sz="1400" b="1"/>
            <a:t>=    </a:t>
          </a:r>
          <a:r>
            <a:rPr lang="zh-CN" altLang="en-US" sz="1400" b="1"/>
            <a:t>位   移</a:t>
          </a:r>
        </a:p>
      </xdr:txBody>
    </xdr:sp>
    <xdr:clientData/>
  </xdr:oneCellAnchor>
  <xdr:twoCellAnchor>
    <xdr:from>
      <xdr:col>9</xdr:col>
      <xdr:colOff>542925</xdr:colOff>
      <xdr:row>5</xdr:row>
      <xdr:rowOff>9525</xdr:rowOff>
    </xdr:from>
    <xdr:to>
      <xdr:col>10</xdr:col>
      <xdr:colOff>133350</xdr:colOff>
      <xdr:row>6</xdr:row>
      <xdr:rowOff>28575</xdr:rowOff>
    </xdr:to>
    <xdr:sp macro="" textlink="">
      <xdr:nvSpPr>
        <xdr:cNvPr id="32" name="矩形 31"/>
        <xdr:cNvSpPr/>
      </xdr:nvSpPr>
      <xdr:spPr>
        <a:xfrm>
          <a:off x="10001250" y="1247775"/>
          <a:ext cx="400050" cy="26670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n-US" altLang="zh-CN" sz="1600"/>
            <a:t>t</a:t>
          </a:r>
          <a:r>
            <a:rPr lang="en-US" altLang="zh-CN" sz="1200"/>
            <a:t>0</a:t>
          </a:r>
          <a:endParaRPr lang="zh-CN" altLang="en-US" sz="1200"/>
        </a:p>
      </xdr:txBody>
    </xdr:sp>
    <xdr:clientData/>
  </xdr:twoCellAnchor>
  <xdr:twoCellAnchor>
    <xdr:from>
      <xdr:col>11</xdr:col>
      <xdr:colOff>609600</xdr:colOff>
      <xdr:row>5</xdr:row>
      <xdr:rowOff>19050</xdr:rowOff>
    </xdr:from>
    <xdr:to>
      <xdr:col>12</xdr:col>
      <xdr:colOff>47625</xdr:colOff>
      <xdr:row>5</xdr:row>
      <xdr:rowOff>219075</xdr:rowOff>
    </xdr:to>
    <xdr:sp macro="" textlink="">
      <xdr:nvSpPr>
        <xdr:cNvPr id="33" name="矩形 32"/>
        <xdr:cNvSpPr/>
      </xdr:nvSpPr>
      <xdr:spPr>
        <a:xfrm>
          <a:off x="11687175" y="125730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xdr:from>
      <xdr:col>12</xdr:col>
      <xdr:colOff>409575</xdr:colOff>
      <xdr:row>5</xdr:row>
      <xdr:rowOff>76200</xdr:rowOff>
    </xdr:from>
    <xdr:to>
      <xdr:col>12</xdr:col>
      <xdr:colOff>657225</xdr:colOff>
      <xdr:row>6</xdr:row>
      <xdr:rowOff>28575</xdr:rowOff>
    </xdr:to>
    <xdr:sp macro="" textlink="">
      <xdr:nvSpPr>
        <xdr:cNvPr id="34" name="矩形 33"/>
        <xdr:cNvSpPr/>
      </xdr:nvSpPr>
      <xdr:spPr>
        <a:xfrm>
          <a:off x="12296775" y="131445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oneCellAnchor>
    <xdr:from>
      <xdr:col>11</xdr:col>
      <xdr:colOff>514350</xdr:colOff>
      <xdr:row>5</xdr:row>
      <xdr:rowOff>0</xdr:rowOff>
    </xdr:from>
    <xdr:ext cx="390525" cy="264560"/>
    <xdr:sp macro="" textlink="">
      <xdr:nvSpPr>
        <xdr:cNvPr id="36" name="TextBox 35"/>
        <xdr:cNvSpPr txBox="1"/>
      </xdr:nvSpPr>
      <xdr:spPr>
        <a:xfrm>
          <a:off x="11591925" y="1238250"/>
          <a:ext cx="3905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altLang="zh-CN" sz="1600"/>
            <a:t>t</a:t>
          </a:r>
          <a:r>
            <a:rPr lang="en-US" altLang="zh-CN" sz="1200"/>
            <a:t>1</a:t>
          </a:r>
          <a:endParaRPr lang="zh-CN" altLang="en-US" sz="1200"/>
        </a:p>
      </xdr:txBody>
    </xdr:sp>
    <xdr:clientData/>
  </xdr:oneCellAnchor>
  <xdr:oneCellAnchor>
    <xdr:from>
      <xdr:col>12</xdr:col>
      <xdr:colOff>381000</xdr:colOff>
      <xdr:row>5</xdr:row>
      <xdr:rowOff>0</xdr:rowOff>
    </xdr:from>
    <xdr:ext cx="219075" cy="264560"/>
    <xdr:sp macro="" textlink="">
      <xdr:nvSpPr>
        <xdr:cNvPr id="37" name="TextBox 36"/>
        <xdr:cNvSpPr txBox="1"/>
      </xdr:nvSpPr>
      <xdr:spPr>
        <a:xfrm>
          <a:off x="12268200" y="1238250"/>
          <a:ext cx="2190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altLang="zh-CN" sz="1600"/>
            <a:t>t</a:t>
          </a:r>
          <a:endParaRPr lang="zh-CN" altLang="en-US" sz="1200"/>
        </a:p>
      </xdr:txBody>
    </xdr:sp>
    <xdr:clientData/>
  </xdr:oneCellAnchor>
  <xdr:twoCellAnchor>
    <xdr:from>
      <xdr:col>0</xdr:col>
      <xdr:colOff>9525</xdr:colOff>
      <xdr:row>0</xdr:row>
      <xdr:rowOff>19050</xdr:rowOff>
    </xdr:from>
    <xdr:to>
      <xdr:col>0</xdr:col>
      <xdr:colOff>819151</xdr:colOff>
      <xdr:row>0</xdr:row>
      <xdr:rowOff>257175</xdr:rowOff>
    </xdr:to>
    <xdr:sp macro="" textlink="">
      <xdr:nvSpPr>
        <xdr:cNvPr id="35" name="五边形 34">
          <a:hlinkClick xmlns:r="http://schemas.openxmlformats.org/officeDocument/2006/relationships" r:id="rId16"/>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342900</xdr:colOff>
      <xdr:row>0</xdr:row>
      <xdr:rowOff>142875</xdr:rowOff>
    </xdr:from>
    <xdr:to>
      <xdr:col>8</xdr:col>
      <xdr:colOff>609600</xdr:colOff>
      <xdr:row>5</xdr:row>
      <xdr:rowOff>133350</xdr:rowOff>
    </xdr:to>
    <xdr:pic>
      <xdr:nvPicPr>
        <xdr:cNvPr id="1331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7372350" y="142875"/>
          <a:ext cx="1885950" cy="1257300"/>
        </a:xfrm>
        <a:prstGeom prst="rect">
          <a:avLst/>
        </a:prstGeom>
        <a:noFill/>
        <a:ln w="1">
          <a:noFill/>
          <a:miter lim="800000"/>
          <a:headEnd/>
          <a:tailEnd type="none" w="med" len="med"/>
        </a:ln>
        <a:effectLst/>
      </xdr:spPr>
    </xdr:pic>
    <xdr:clientData/>
  </xdr:twoCellAnchor>
  <xdr:twoCellAnchor>
    <xdr:from>
      <xdr:col>7</xdr:col>
      <xdr:colOff>133350</xdr:colOff>
      <xdr:row>0</xdr:row>
      <xdr:rowOff>123824</xdr:rowOff>
    </xdr:from>
    <xdr:to>
      <xdr:col>7</xdr:col>
      <xdr:colOff>714375</xdr:colOff>
      <xdr:row>2</xdr:row>
      <xdr:rowOff>114299</xdr:rowOff>
    </xdr:to>
    <xdr:sp macro="" textlink="">
      <xdr:nvSpPr>
        <xdr:cNvPr id="49" name="圆柱形 48"/>
        <xdr:cNvSpPr/>
      </xdr:nvSpPr>
      <xdr:spPr>
        <a:xfrm>
          <a:off x="7972425" y="123824"/>
          <a:ext cx="581025" cy="485775"/>
        </a:xfrm>
        <a:prstGeom prst="can">
          <a:avLst>
            <a:gd name="adj" fmla="val 50000"/>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lang="zh-CN" altLang="en-US" sz="1100"/>
        </a:p>
      </xdr:txBody>
    </xdr:sp>
    <xdr:clientData/>
  </xdr:twoCellAnchor>
  <xdr:oneCellAnchor>
    <xdr:from>
      <xdr:col>7</xdr:col>
      <xdr:colOff>114300</xdr:colOff>
      <xdr:row>0</xdr:row>
      <xdr:rowOff>57150</xdr:rowOff>
    </xdr:from>
    <xdr:ext cx="658770" cy="467436"/>
    <xdr:sp macro="" textlink="">
      <xdr:nvSpPr>
        <xdr:cNvPr id="50" name="TextBox 49"/>
        <xdr:cNvSpPr txBox="1"/>
      </xdr:nvSpPr>
      <xdr:spPr>
        <a:xfrm>
          <a:off x="7953375" y="57150"/>
          <a:ext cx="658770" cy="467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800" b="1">
              <a:solidFill>
                <a:schemeClr val="tx1"/>
              </a:solidFill>
              <a:latin typeface="Adobe 黑体 Std R" pitchFamily="34" charset="-122"/>
              <a:ea typeface="Adobe 黑体 Std R" pitchFamily="34" charset="-122"/>
            </a:rPr>
            <a:t>负载</a:t>
          </a:r>
        </a:p>
      </xdr:txBody>
    </xdr:sp>
    <xdr:clientData/>
  </xdr:oneCellAnchor>
  <xdr:twoCellAnchor editAs="oneCell">
    <xdr:from>
      <xdr:col>5</xdr:col>
      <xdr:colOff>9526</xdr:colOff>
      <xdr:row>38</xdr:row>
      <xdr:rowOff>9526</xdr:rowOff>
    </xdr:from>
    <xdr:to>
      <xdr:col>13</xdr:col>
      <xdr:colOff>0</xdr:colOff>
      <xdr:row>49</xdr:row>
      <xdr:rowOff>85654</xdr:rowOff>
    </xdr:to>
    <xdr:pic>
      <xdr:nvPicPr>
        <xdr:cNvPr id="13319" name="Picture 7"/>
        <xdr:cNvPicPr>
          <a:picLocks noChangeAspect="1" noChangeArrowheads="1"/>
        </xdr:cNvPicPr>
      </xdr:nvPicPr>
      <xdr:blipFill>
        <a:blip xmlns:r="http://schemas.openxmlformats.org/officeDocument/2006/relationships" r:embed="rId2" cstate="print"/>
        <a:srcRect/>
        <a:stretch>
          <a:fillRect/>
        </a:stretch>
      </xdr:blipFill>
      <xdr:spPr bwMode="auto">
        <a:xfrm>
          <a:off x="6229351" y="9467851"/>
          <a:ext cx="6467474" cy="2800278"/>
        </a:xfrm>
        <a:prstGeom prst="rect">
          <a:avLst/>
        </a:prstGeom>
        <a:noFill/>
        <a:ln w="1">
          <a:noFill/>
          <a:miter lim="800000"/>
          <a:headEnd/>
          <a:tailEnd type="none" w="med" len="med"/>
        </a:ln>
        <a:effectLst/>
      </xdr:spPr>
    </xdr:pic>
    <xdr:clientData/>
  </xdr:twoCellAnchor>
  <xdr:twoCellAnchor editAs="oneCell">
    <xdr:from>
      <xdr:col>5</xdr:col>
      <xdr:colOff>9526</xdr:colOff>
      <xdr:row>5</xdr:row>
      <xdr:rowOff>19051</xdr:rowOff>
    </xdr:from>
    <xdr:to>
      <xdr:col>12</xdr:col>
      <xdr:colOff>781051</xdr:colOff>
      <xdr:row>15</xdr:row>
      <xdr:rowOff>38100</xdr:rowOff>
    </xdr:to>
    <xdr:pic>
      <xdr:nvPicPr>
        <xdr:cNvPr id="13320" name="Picture 8"/>
        <xdr:cNvPicPr>
          <a:picLocks noChangeAspect="1" noChangeArrowheads="1"/>
        </xdr:cNvPicPr>
      </xdr:nvPicPr>
      <xdr:blipFill>
        <a:blip xmlns:r="http://schemas.openxmlformats.org/officeDocument/2006/relationships" r:embed="rId3" cstate="print"/>
        <a:srcRect/>
        <a:stretch>
          <a:fillRect/>
        </a:stretch>
      </xdr:blipFill>
      <xdr:spPr bwMode="auto">
        <a:xfrm>
          <a:off x="6229351" y="1304926"/>
          <a:ext cx="6438900" cy="2495549"/>
        </a:xfrm>
        <a:prstGeom prst="rect">
          <a:avLst/>
        </a:prstGeom>
        <a:noFill/>
        <a:ln w="1">
          <a:noFill/>
          <a:miter lim="800000"/>
          <a:headEnd/>
          <a:tailEnd type="none" w="med" len="med"/>
        </a:ln>
        <a:effectLst/>
      </xdr:spPr>
    </xdr:pic>
    <xdr:clientData/>
  </xdr:twoCellAnchor>
  <xdr:twoCellAnchor editAs="oneCell">
    <xdr:from>
      <xdr:col>5</xdr:col>
      <xdr:colOff>9525</xdr:colOff>
      <xdr:row>15</xdr:row>
      <xdr:rowOff>133352</xdr:rowOff>
    </xdr:from>
    <xdr:to>
      <xdr:col>12</xdr:col>
      <xdr:colOff>790575</xdr:colOff>
      <xdr:row>26</xdr:row>
      <xdr:rowOff>238126</xdr:rowOff>
    </xdr:to>
    <xdr:pic>
      <xdr:nvPicPr>
        <xdr:cNvPr id="13321" name="Picture 9"/>
        <xdr:cNvPicPr>
          <a:picLocks noChangeAspect="1" noChangeArrowheads="1"/>
        </xdr:cNvPicPr>
      </xdr:nvPicPr>
      <xdr:blipFill>
        <a:blip xmlns:r="http://schemas.openxmlformats.org/officeDocument/2006/relationships" r:embed="rId4" cstate="print"/>
        <a:srcRect/>
        <a:stretch>
          <a:fillRect/>
        </a:stretch>
      </xdr:blipFill>
      <xdr:spPr bwMode="auto">
        <a:xfrm>
          <a:off x="6229350" y="3895727"/>
          <a:ext cx="6448425" cy="2828924"/>
        </a:xfrm>
        <a:prstGeom prst="rect">
          <a:avLst/>
        </a:prstGeom>
        <a:noFill/>
        <a:ln w="1">
          <a:noFill/>
          <a:miter lim="800000"/>
          <a:headEnd/>
          <a:tailEnd type="none" w="med" len="med"/>
        </a:ln>
        <a:effectLst/>
      </xdr:spPr>
    </xdr:pic>
    <xdr:clientData/>
  </xdr:twoCellAnchor>
  <xdr:twoCellAnchor editAs="oneCell">
    <xdr:from>
      <xdr:col>5</xdr:col>
      <xdr:colOff>9525</xdr:colOff>
      <xdr:row>27</xdr:row>
      <xdr:rowOff>9526</xdr:rowOff>
    </xdr:from>
    <xdr:to>
      <xdr:col>12</xdr:col>
      <xdr:colOff>781050</xdr:colOff>
      <xdr:row>35</xdr:row>
      <xdr:rowOff>219075</xdr:rowOff>
    </xdr:to>
    <xdr:pic>
      <xdr:nvPicPr>
        <xdr:cNvPr id="13322" name="Picture 10"/>
        <xdr:cNvPicPr>
          <a:picLocks noChangeAspect="1" noChangeArrowheads="1"/>
        </xdr:cNvPicPr>
      </xdr:nvPicPr>
      <xdr:blipFill>
        <a:blip xmlns:r="http://schemas.openxmlformats.org/officeDocument/2006/relationships" r:embed="rId5" cstate="print"/>
        <a:srcRect/>
        <a:stretch>
          <a:fillRect/>
        </a:stretch>
      </xdr:blipFill>
      <xdr:spPr bwMode="auto">
        <a:xfrm>
          <a:off x="6229350" y="6743701"/>
          <a:ext cx="6438900" cy="2190749"/>
        </a:xfrm>
        <a:prstGeom prst="rect">
          <a:avLst/>
        </a:prstGeom>
        <a:noFill/>
        <a:ln w="1">
          <a:noFill/>
          <a:miter lim="800000"/>
          <a:headEnd/>
          <a:tailEnd type="none" w="med" len="med"/>
        </a:ln>
        <a:effectLst/>
      </xdr:spPr>
    </xdr:pic>
    <xdr:clientData/>
  </xdr:twoCellAnchor>
  <xdr:twoCellAnchor editAs="oneCell">
    <xdr:from>
      <xdr:col>5</xdr:col>
      <xdr:colOff>1</xdr:colOff>
      <xdr:row>51</xdr:row>
      <xdr:rowOff>0</xdr:rowOff>
    </xdr:from>
    <xdr:to>
      <xdr:col>12</xdr:col>
      <xdr:colOff>790575</xdr:colOff>
      <xdr:row>53</xdr:row>
      <xdr:rowOff>115923</xdr:rowOff>
    </xdr:to>
    <xdr:pic>
      <xdr:nvPicPr>
        <xdr:cNvPr id="13325" name="Picture 13"/>
        <xdr:cNvPicPr>
          <a:picLocks noChangeAspect="1" noChangeArrowheads="1"/>
        </xdr:cNvPicPr>
      </xdr:nvPicPr>
      <xdr:blipFill>
        <a:blip xmlns:r="http://schemas.openxmlformats.org/officeDocument/2006/relationships" r:embed="rId6" cstate="print"/>
        <a:srcRect/>
        <a:stretch>
          <a:fillRect/>
        </a:stretch>
      </xdr:blipFill>
      <xdr:spPr bwMode="auto">
        <a:xfrm>
          <a:off x="6219826" y="13668375"/>
          <a:ext cx="6457949" cy="611223"/>
        </a:xfrm>
        <a:prstGeom prst="rect">
          <a:avLst/>
        </a:prstGeom>
        <a:noFill/>
        <a:ln w="1">
          <a:noFill/>
          <a:miter lim="800000"/>
          <a:headEnd/>
          <a:tailEnd type="none" w="med" len="med"/>
        </a:ln>
        <a:effectLst/>
      </xdr:spPr>
    </xdr:pic>
    <xdr:clientData/>
  </xdr:twoCellAnchor>
  <xdr:twoCellAnchor editAs="oneCell">
    <xdr:from>
      <xdr:col>5</xdr:col>
      <xdr:colOff>9527</xdr:colOff>
      <xdr:row>53</xdr:row>
      <xdr:rowOff>76201</xdr:rowOff>
    </xdr:from>
    <xdr:to>
      <xdr:col>12</xdr:col>
      <xdr:colOff>800100</xdr:colOff>
      <xdr:row>56</xdr:row>
      <xdr:rowOff>219075</xdr:rowOff>
    </xdr:to>
    <xdr:pic>
      <xdr:nvPicPr>
        <xdr:cNvPr id="13324" name="Picture 12"/>
        <xdr:cNvPicPr>
          <a:picLocks noChangeAspect="1" noChangeArrowheads="1"/>
        </xdr:cNvPicPr>
      </xdr:nvPicPr>
      <xdr:blipFill>
        <a:blip xmlns:r="http://schemas.openxmlformats.org/officeDocument/2006/relationships" r:embed="rId7" cstate="print"/>
        <a:srcRect/>
        <a:stretch>
          <a:fillRect/>
        </a:stretch>
      </xdr:blipFill>
      <xdr:spPr bwMode="auto">
        <a:xfrm>
          <a:off x="6229352" y="14239876"/>
          <a:ext cx="6457948" cy="885824"/>
        </a:xfrm>
        <a:prstGeom prst="rect">
          <a:avLst/>
        </a:prstGeom>
        <a:noFill/>
        <a:ln w="1">
          <a:noFill/>
          <a:miter lim="800000"/>
          <a:headEnd/>
          <a:tailEnd type="none" w="med" len="med"/>
        </a:ln>
        <a:effectLst/>
      </xdr:spPr>
    </xdr:pic>
    <xdr:clientData/>
  </xdr:twoCellAnchor>
  <xdr:twoCellAnchor editAs="oneCell">
    <xdr:from>
      <xdr:col>0</xdr:col>
      <xdr:colOff>0</xdr:colOff>
      <xdr:row>28</xdr:row>
      <xdr:rowOff>0</xdr:rowOff>
    </xdr:from>
    <xdr:to>
      <xdr:col>2</xdr:col>
      <xdr:colOff>1038225</xdr:colOff>
      <xdr:row>37</xdr:row>
      <xdr:rowOff>0</xdr:rowOff>
    </xdr:to>
    <xdr:pic>
      <xdr:nvPicPr>
        <xdr:cNvPr id="13329" name="Picture 17"/>
        <xdr:cNvPicPr>
          <a:picLocks noChangeAspect="1" noChangeArrowheads="1"/>
        </xdr:cNvPicPr>
      </xdr:nvPicPr>
      <xdr:blipFill>
        <a:blip xmlns:r="http://schemas.openxmlformats.org/officeDocument/2006/relationships" r:embed="rId8" cstate="print"/>
        <a:srcRect/>
        <a:stretch>
          <a:fillRect/>
        </a:stretch>
      </xdr:blipFill>
      <xdr:spPr bwMode="auto">
        <a:xfrm>
          <a:off x="0" y="6981825"/>
          <a:ext cx="4010025" cy="2228850"/>
        </a:xfrm>
        <a:prstGeom prst="rect">
          <a:avLst/>
        </a:prstGeom>
        <a:noFill/>
        <a:ln w="1">
          <a:noFill/>
          <a:miter lim="800000"/>
          <a:headEnd/>
          <a:tailEnd type="none" w="med" len="med"/>
        </a:ln>
        <a:effectLst/>
      </xdr:spPr>
    </xdr:pic>
    <xdr:clientData/>
  </xdr:twoCellAnchor>
  <xdr:twoCellAnchor editAs="oneCell">
    <xdr:from>
      <xdr:col>0</xdr:col>
      <xdr:colOff>0</xdr:colOff>
      <xdr:row>38</xdr:row>
      <xdr:rowOff>0</xdr:rowOff>
    </xdr:from>
    <xdr:to>
      <xdr:col>3</xdr:col>
      <xdr:colOff>685800</xdr:colOff>
      <xdr:row>47</xdr:row>
      <xdr:rowOff>28575</xdr:rowOff>
    </xdr:to>
    <xdr:pic>
      <xdr:nvPicPr>
        <xdr:cNvPr id="13330" name="Picture 18"/>
        <xdr:cNvPicPr>
          <a:picLocks noChangeAspect="1" noChangeArrowheads="1"/>
        </xdr:cNvPicPr>
      </xdr:nvPicPr>
      <xdr:blipFill>
        <a:blip xmlns:r="http://schemas.openxmlformats.org/officeDocument/2006/relationships" r:embed="rId9" cstate="print"/>
        <a:srcRect/>
        <a:stretch>
          <a:fillRect/>
        </a:stretch>
      </xdr:blipFill>
      <xdr:spPr bwMode="auto">
        <a:xfrm>
          <a:off x="0" y="9458325"/>
          <a:ext cx="4848225" cy="225742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3" name="五边形 12">
          <a:hlinkClick xmlns:r="http://schemas.openxmlformats.org/officeDocument/2006/relationships" r:id="rId10"/>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9525</xdr:colOff>
      <xdr:row>3</xdr:row>
      <xdr:rowOff>0</xdr:rowOff>
    </xdr:from>
    <xdr:to>
      <xdr:col>13</xdr:col>
      <xdr:colOff>409575</xdr:colOff>
      <xdr:row>6</xdr:row>
      <xdr:rowOff>19050</xdr:rowOff>
    </xdr:to>
    <xdr:pic>
      <xdr:nvPicPr>
        <xdr:cNvPr id="2" name="Picture 7"/>
        <xdr:cNvPicPr>
          <a:picLocks noChangeAspect="1" noChangeArrowheads="1"/>
        </xdr:cNvPicPr>
      </xdr:nvPicPr>
      <xdr:blipFill>
        <a:blip xmlns:r="http://schemas.openxmlformats.org/officeDocument/2006/relationships" r:embed="rId1" cstate="print"/>
        <a:srcRect/>
        <a:stretch>
          <a:fillRect/>
        </a:stretch>
      </xdr:blipFill>
      <xdr:spPr bwMode="auto">
        <a:xfrm>
          <a:off x="10363200" y="790575"/>
          <a:ext cx="2019300" cy="762000"/>
        </a:xfrm>
        <a:prstGeom prst="rect">
          <a:avLst/>
        </a:prstGeom>
        <a:noFill/>
        <a:ln w="1">
          <a:noFill/>
          <a:miter lim="800000"/>
          <a:headEnd/>
          <a:tailEnd type="none" w="med" len="med"/>
        </a:ln>
        <a:effectLst/>
      </xdr:spPr>
    </xdr:pic>
    <xdr:clientData/>
  </xdr:twoCellAnchor>
  <xdr:twoCellAnchor editAs="oneCell">
    <xdr:from>
      <xdr:col>11</xdr:col>
      <xdr:colOff>9526</xdr:colOff>
      <xdr:row>11</xdr:row>
      <xdr:rowOff>10998</xdr:rowOff>
    </xdr:from>
    <xdr:to>
      <xdr:col>13</xdr:col>
      <xdr:colOff>600075</xdr:colOff>
      <xdr:row>15</xdr:row>
      <xdr:rowOff>228600</xdr:rowOff>
    </xdr:to>
    <xdr:pic>
      <xdr:nvPicPr>
        <xdr:cNvPr id="3" name="Picture 19"/>
        <xdr:cNvPicPr>
          <a:picLocks noChangeAspect="1" noChangeArrowheads="1"/>
        </xdr:cNvPicPr>
      </xdr:nvPicPr>
      <xdr:blipFill>
        <a:blip xmlns:r="http://schemas.openxmlformats.org/officeDocument/2006/relationships" r:embed="rId2" cstate="print"/>
        <a:srcRect/>
        <a:stretch>
          <a:fillRect/>
        </a:stretch>
      </xdr:blipFill>
      <xdr:spPr bwMode="auto">
        <a:xfrm>
          <a:off x="10363201" y="2782773"/>
          <a:ext cx="2209799" cy="1208202"/>
        </a:xfrm>
        <a:prstGeom prst="rect">
          <a:avLst/>
        </a:prstGeom>
        <a:noFill/>
        <a:ln w="1">
          <a:noFill/>
          <a:miter lim="800000"/>
          <a:headEnd/>
          <a:tailEnd type="none" w="med" len="med"/>
        </a:ln>
        <a:effectLst/>
      </xdr:spPr>
    </xdr:pic>
    <xdr:clientData/>
  </xdr:twoCellAnchor>
  <xdr:twoCellAnchor editAs="oneCell">
    <xdr:from>
      <xdr:col>11</xdr:col>
      <xdr:colOff>9527</xdr:colOff>
      <xdr:row>6</xdr:row>
      <xdr:rowOff>95250</xdr:rowOff>
    </xdr:from>
    <xdr:to>
      <xdr:col>13</xdr:col>
      <xdr:colOff>342901</xdr:colOff>
      <xdr:row>10</xdr:row>
      <xdr:rowOff>190500</xdr:rowOff>
    </xdr:to>
    <xdr:pic>
      <xdr:nvPicPr>
        <xdr:cNvPr id="6" name="Picture 4"/>
        <xdr:cNvPicPr>
          <a:picLocks noChangeAspect="1" noChangeArrowheads="1"/>
        </xdr:cNvPicPr>
      </xdr:nvPicPr>
      <xdr:blipFill>
        <a:blip xmlns:r="http://schemas.openxmlformats.org/officeDocument/2006/relationships" r:embed="rId3" cstate="print"/>
        <a:srcRect/>
        <a:stretch>
          <a:fillRect/>
        </a:stretch>
      </xdr:blipFill>
      <xdr:spPr bwMode="auto">
        <a:xfrm>
          <a:off x="10363202" y="1628775"/>
          <a:ext cx="1952624" cy="1085850"/>
        </a:xfrm>
        <a:prstGeom prst="rect">
          <a:avLst/>
        </a:prstGeom>
        <a:noFill/>
        <a:ln w="1">
          <a:noFill/>
          <a:miter lim="800000"/>
          <a:headEnd/>
          <a:tailEnd type="none" w="med" len="med"/>
        </a:ln>
        <a:effectLst/>
      </xdr:spPr>
    </xdr:pic>
    <xdr:clientData/>
  </xdr:twoCellAnchor>
  <xdr:twoCellAnchor editAs="oneCell">
    <xdr:from>
      <xdr:col>5</xdr:col>
      <xdr:colOff>9526</xdr:colOff>
      <xdr:row>17</xdr:row>
      <xdr:rowOff>243532</xdr:rowOff>
    </xdr:from>
    <xdr:to>
      <xdr:col>13</xdr:col>
      <xdr:colOff>514350</xdr:colOff>
      <xdr:row>31</xdr:row>
      <xdr:rowOff>161926</xdr:rowOff>
    </xdr:to>
    <xdr:pic>
      <xdr:nvPicPr>
        <xdr:cNvPr id="15" name="Picture 6"/>
        <xdr:cNvPicPr>
          <a:picLocks noChangeAspect="1" noChangeArrowheads="1"/>
        </xdr:cNvPicPr>
      </xdr:nvPicPr>
      <xdr:blipFill>
        <a:blip xmlns:r="http://schemas.openxmlformats.org/officeDocument/2006/relationships" r:embed="rId4" cstate="print"/>
        <a:srcRect/>
        <a:stretch>
          <a:fillRect/>
        </a:stretch>
      </xdr:blipFill>
      <xdr:spPr bwMode="auto">
        <a:xfrm>
          <a:off x="6391276" y="4501207"/>
          <a:ext cx="6762749" cy="3385494"/>
        </a:xfrm>
        <a:prstGeom prst="rect">
          <a:avLst/>
        </a:prstGeom>
        <a:noFill/>
        <a:ln w="1">
          <a:noFill/>
          <a:miter lim="800000"/>
          <a:headEnd/>
          <a:tailEnd type="none" w="med" len="med"/>
        </a:ln>
        <a:effectLst/>
      </xdr:spPr>
    </xdr:pic>
    <xdr:clientData/>
  </xdr:twoCellAnchor>
  <xdr:twoCellAnchor editAs="oneCell">
    <xdr:from>
      <xdr:col>5</xdr:col>
      <xdr:colOff>9525</xdr:colOff>
      <xdr:row>39</xdr:row>
      <xdr:rowOff>123825</xdr:rowOff>
    </xdr:from>
    <xdr:to>
      <xdr:col>13</xdr:col>
      <xdr:colOff>533400</xdr:colOff>
      <xdr:row>65</xdr:row>
      <xdr:rowOff>238125</xdr:rowOff>
    </xdr:to>
    <xdr:pic>
      <xdr:nvPicPr>
        <xdr:cNvPr id="16" name="Picture 8"/>
        <xdr:cNvPicPr>
          <a:picLocks noChangeAspect="1" noChangeArrowheads="1"/>
        </xdr:cNvPicPr>
      </xdr:nvPicPr>
      <xdr:blipFill>
        <a:blip xmlns:r="http://schemas.openxmlformats.org/officeDocument/2006/relationships" r:embed="rId5" cstate="print"/>
        <a:srcRect/>
        <a:stretch>
          <a:fillRect/>
        </a:stretch>
      </xdr:blipFill>
      <xdr:spPr bwMode="auto">
        <a:xfrm>
          <a:off x="6391275" y="9829800"/>
          <a:ext cx="6781800" cy="6553200"/>
        </a:xfrm>
        <a:prstGeom prst="rect">
          <a:avLst/>
        </a:prstGeom>
        <a:noFill/>
        <a:ln w="1">
          <a:noFill/>
          <a:miter lim="800000"/>
          <a:headEnd/>
          <a:tailEnd type="none" w="med" len="med"/>
        </a:ln>
        <a:effectLst/>
      </xdr:spPr>
    </xdr:pic>
    <xdr:clientData/>
  </xdr:twoCellAnchor>
  <xdr:twoCellAnchor editAs="oneCell">
    <xdr:from>
      <xdr:col>5</xdr:col>
      <xdr:colOff>0</xdr:colOff>
      <xdr:row>65</xdr:row>
      <xdr:rowOff>171450</xdr:rowOff>
    </xdr:from>
    <xdr:to>
      <xdr:col>13</xdr:col>
      <xdr:colOff>485775</xdr:colOff>
      <xdr:row>92</xdr:row>
      <xdr:rowOff>0</xdr:rowOff>
    </xdr:to>
    <xdr:pic>
      <xdr:nvPicPr>
        <xdr:cNvPr id="17"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6381750" y="16316325"/>
          <a:ext cx="6743700" cy="6515100"/>
        </a:xfrm>
        <a:prstGeom prst="rect">
          <a:avLst/>
        </a:prstGeom>
        <a:noFill/>
        <a:ln w="1">
          <a:noFill/>
          <a:miter lim="800000"/>
          <a:headEnd/>
          <a:tailEnd type="none" w="med" len="med"/>
        </a:ln>
        <a:effectLst/>
      </xdr:spPr>
    </xdr:pic>
    <xdr:clientData/>
  </xdr:twoCellAnchor>
  <xdr:twoCellAnchor editAs="oneCell">
    <xdr:from>
      <xdr:col>4</xdr:col>
      <xdr:colOff>533400</xdr:colOff>
      <xdr:row>91</xdr:row>
      <xdr:rowOff>200025</xdr:rowOff>
    </xdr:from>
    <xdr:to>
      <xdr:col>13</xdr:col>
      <xdr:colOff>495300</xdr:colOff>
      <xdr:row>104</xdr:row>
      <xdr:rowOff>238125</xdr:rowOff>
    </xdr:to>
    <xdr:pic>
      <xdr:nvPicPr>
        <xdr:cNvPr id="18" name="Picture 10"/>
        <xdr:cNvPicPr>
          <a:picLocks noChangeAspect="1" noChangeArrowheads="1"/>
        </xdr:cNvPicPr>
      </xdr:nvPicPr>
      <xdr:blipFill>
        <a:blip xmlns:r="http://schemas.openxmlformats.org/officeDocument/2006/relationships" r:embed="rId7" cstate="print"/>
        <a:srcRect/>
        <a:stretch>
          <a:fillRect/>
        </a:stretch>
      </xdr:blipFill>
      <xdr:spPr bwMode="auto">
        <a:xfrm>
          <a:off x="6372225" y="22783800"/>
          <a:ext cx="6753225" cy="3257550"/>
        </a:xfrm>
        <a:prstGeom prst="rect">
          <a:avLst/>
        </a:prstGeom>
        <a:noFill/>
        <a:ln w="1">
          <a:noFill/>
          <a:miter lim="800000"/>
          <a:headEnd/>
          <a:tailEnd type="none" w="med" len="med"/>
        </a:ln>
        <a:effectLst/>
      </xdr:spPr>
    </xdr:pic>
    <xdr:clientData/>
  </xdr:twoCellAnchor>
  <xdr:twoCellAnchor editAs="oneCell">
    <xdr:from>
      <xdr:col>5</xdr:col>
      <xdr:colOff>9525</xdr:colOff>
      <xdr:row>31</xdr:row>
      <xdr:rowOff>171450</xdr:rowOff>
    </xdr:from>
    <xdr:to>
      <xdr:col>13</xdr:col>
      <xdr:colOff>514350</xdr:colOff>
      <xdr:row>40</xdr:row>
      <xdr:rowOff>12661</xdr:rowOff>
    </xdr:to>
    <xdr:pic>
      <xdr:nvPicPr>
        <xdr:cNvPr id="19" name="Picture 11"/>
        <xdr:cNvPicPr>
          <a:picLocks noChangeAspect="1" noChangeArrowheads="1"/>
        </xdr:cNvPicPr>
      </xdr:nvPicPr>
      <xdr:blipFill>
        <a:blip xmlns:r="http://schemas.openxmlformats.org/officeDocument/2006/relationships" r:embed="rId8" cstate="print"/>
        <a:srcRect/>
        <a:stretch>
          <a:fillRect/>
        </a:stretch>
      </xdr:blipFill>
      <xdr:spPr bwMode="auto">
        <a:xfrm>
          <a:off x="6391275" y="7896225"/>
          <a:ext cx="6762750" cy="2070061"/>
        </a:xfrm>
        <a:prstGeom prst="rect">
          <a:avLst/>
        </a:prstGeom>
        <a:noFill/>
        <a:ln w="1">
          <a:noFill/>
          <a:miter lim="800000"/>
          <a:headEnd/>
          <a:tailEnd type="none" w="med" len="med"/>
        </a:ln>
        <a:effectLst/>
      </xdr:spPr>
    </xdr:pic>
    <xdr:clientData/>
  </xdr:twoCellAnchor>
  <xdr:twoCellAnchor editAs="oneCell">
    <xdr:from>
      <xdr:col>0</xdr:col>
      <xdr:colOff>0</xdr:colOff>
      <xdr:row>23</xdr:row>
      <xdr:rowOff>0</xdr:rowOff>
    </xdr:from>
    <xdr:to>
      <xdr:col>3</xdr:col>
      <xdr:colOff>819150</xdr:colOff>
      <xdr:row>50</xdr:row>
      <xdr:rowOff>85725</xdr:rowOff>
    </xdr:to>
    <xdr:pic>
      <xdr:nvPicPr>
        <xdr:cNvPr id="27" name="Picture 8"/>
        <xdr:cNvPicPr>
          <a:picLocks noChangeAspect="1" noChangeArrowheads="1"/>
        </xdr:cNvPicPr>
      </xdr:nvPicPr>
      <xdr:blipFill>
        <a:blip xmlns:r="http://schemas.openxmlformats.org/officeDocument/2006/relationships" r:embed="rId9" cstate="print"/>
        <a:srcRect/>
        <a:stretch>
          <a:fillRect/>
        </a:stretch>
      </xdr:blipFill>
      <xdr:spPr bwMode="auto">
        <a:xfrm>
          <a:off x="0" y="8220075"/>
          <a:ext cx="4648200" cy="677227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1" name="五边形 10">
          <a:hlinkClick xmlns:r="http://schemas.openxmlformats.org/officeDocument/2006/relationships" r:id="rId10"/>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9525</xdr:colOff>
      <xdr:row>3</xdr:row>
      <xdr:rowOff>9525</xdr:rowOff>
    </xdr:from>
    <xdr:to>
      <xdr:col>4</xdr:col>
      <xdr:colOff>447675</xdr:colOff>
      <xdr:row>6</xdr:row>
      <xdr:rowOff>238125</xdr:rowOff>
    </xdr:to>
    <xdr:pic>
      <xdr:nvPicPr>
        <xdr:cNvPr id="14356" name="Picture 20"/>
        <xdr:cNvPicPr>
          <a:picLocks noChangeAspect="1" noChangeArrowheads="1"/>
        </xdr:cNvPicPr>
      </xdr:nvPicPr>
      <xdr:blipFill>
        <a:blip xmlns:r="http://schemas.openxmlformats.org/officeDocument/2006/relationships" r:embed="rId1" cstate="print"/>
        <a:srcRect/>
        <a:stretch>
          <a:fillRect/>
        </a:stretch>
      </xdr:blipFill>
      <xdr:spPr bwMode="auto">
        <a:xfrm>
          <a:off x="4010025" y="800100"/>
          <a:ext cx="1809750" cy="971550"/>
        </a:xfrm>
        <a:prstGeom prst="rect">
          <a:avLst/>
        </a:prstGeom>
        <a:noFill/>
        <a:ln w="1">
          <a:noFill/>
          <a:miter lim="800000"/>
          <a:headEnd/>
          <a:tailEnd type="none" w="med" len="med"/>
        </a:ln>
        <a:effectLst/>
      </xdr:spPr>
    </xdr:pic>
    <xdr:clientData/>
  </xdr:twoCellAnchor>
  <xdr:twoCellAnchor editAs="oneCell">
    <xdr:from>
      <xdr:col>5</xdr:col>
      <xdr:colOff>9527</xdr:colOff>
      <xdr:row>2</xdr:row>
      <xdr:rowOff>9525</xdr:rowOff>
    </xdr:from>
    <xdr:to>
      <xdr:col>9</xdr:col>
      <xdr:colOff>209550</xdr:colOff>
      <xdr:row>9</xdr:row>
      <xdr:rowOff>19050</xdr:rowOff>
    </xdr:to>
    <xdr:pic>
      <xdr:nvPicPr>
        <xdr:cNvPr id="14363" name="Picture 27"/>
        <xdr:cNvPicPr>
          <a:picLocks noChangeAspect="1" noChangeArrowheads="1"/>
        </xdr:cNvPicPr>
      </xdr:nvPicPr>
      <xdr:blipFill>
        <a:blip xmlns:r="http://schemas.openxmlformats.org/officeDocument/2006/relationships" r:embed="rId2" cstate="print"/>
        <a:srcRect/>
        <a:stretch>
          <a:fillRect/>
        </a:stretch>
      </xdr:blipFill>
      <xdr:spPr bwMode="auto">
        <a:xfrm>
          <a:off x="5924552" y="552450"/>
          <a:ext cx="3438523" cy="1743075"/>
        </a:xfrm>
        <a:prstGeom prst="rect">
          <a:avLst/>
        </a:prstGeom>
        <a:noFill/>
        <a:ln w="1">
          <a:noFill/>
          <a:miter lim="800000"/>
          <a:headEnd/>
          <a:tailEnd type="none" w="med" len="med"/>
        </a:ln>
        <a:effectLst/>
      </xdr:spPr>
    </xdr:pic>
    <xdr:clientData/>
  </xdr:twoCellAnchor>
  <xdr:twoCellAnchor editAs="oneCell">
    <xdr:from>
      <xdr:col>0</xdr:col>
      <xdr:colOff>0</xdr:colOff>
      <xdr:row>58</xdr:row>
      <xdr:rowOff>0</xdr:rowOff>
    </xdr:from>
    <xdr:to>
      <xdr:col>5</xdr:col>
      <xdr:colOff>34510</xdr:colOff>
      <xdr:row>82</xdr:row>
      <xdr:rowOff>57150</xdr:rowOff>
    </xdr:to>
    <xdr:pic>
      <xdr:nvPicPr>
        <xdr:cNvPr id="12296" name="Picture 8"/>
        <xdr:cNvPicPr>
          <a:picLocks noChangeAspect="1" noChangeArrowheads="1"/>
        </xdr:cNvPicPr>
      </xdr:nvPicPr>
      <xdr:blipFill>
        <a:blip xmlns:r="http://schemas.openxmlformats.org/officeDocument/2006/relationships" r:embed="rId3" cstate="print"/>
        <a:srcRect/>
        <a:stretch>
          <a:fillRect/>
        </a:stretch>
      </xdr:blipFill>
      <xdr:spPr bwMode="auto">
        <a:xfrm>
          <a:off x="0" y="16392525"/>
          <a:ext cx="5949535" cy="6000750"/>
        </a:xfrm>
        <a:prstGeom prst="rect">
          <a:avLst/>
        </a:prstGeom>
        <a:noFill/>
        <a:ln w="1">
          <a:noFill/>
          <a:miter lim="800000"/>
          <a:headEnd/>
          <a:tailEnd type="none" w="med" len="med"/>
        </a:ln>
        <a:effectLst/>
      </xdr:spPr>
    </xdr:pic>
    <xdr:clientData/>
  </xdr:twoCellAnchor>
  <xdr:twoCellAnchor editAs="oneCell">
    <xdr:from>
      <xdr:col>5</xdr:col>
      <xdr:colOff>0</xdr:colOff>
      <xdr:row>20</xdr:row>
      <xdr:rowOff>0</xdr:rowOff>
    </xdr:from>
    <xdr:to>
      <xdr:col>13</xdr:col>
      <xdr:colOff>28575</xdr:colOff>
      <xdr:row>21</xdr:row>
      <xdr:rowOff>209550</xdr:rowOff>
    </xdr:to>
    <xdr:pic>
      <xdr:nvPicPr>
        <xdr:cNvPr id="12300" name="Picture 12"/>
        <xdr:cNvPicPr>
          <a:picLocks noChangeAspect="1" noChangeArrowheads="1"/>
        </xdr:cNvPicPr>
      </xdr:nvPicPr>
      <xdr:blipFill>
        <a:blip xmlns:r="http://schemas.openxmlformats.org/officeDocument/2006/relationships" r:embed="rId4" cstate="print"/>
        <a:srcRect/>
        <a:stretch>
          <a:fillRect/>
        </a:stretch>
      </xdr:blipFill>
      <xdr:spPr bwMode="auto">
        <a:xfrm>
          <a:off x="5915025" y="5000625"/>
          <a:ext cx="6286500" cy="457200"/>
        </a:xfrm>
        <a:prstGeom prst="rect">
          <a:avLst/>
        </a:prstGeom>
        <a:noFill/>
        <a:ln w="1">
          <a:noFill/>
          <a:miter lim="800000"/>
          <a:headEnd/>
          <a:tailEnd type="none" w="med" len="med"/>
        </a:ln>
        <a:effectLst/>
      </xdr:spPr>
    </xdr:pic>
    <xdr:clientData/>
  </xdr:twoCellAnchor>
  <xdr:twoCellAnchor editAs="oneCell">
    <xdr:from>
      <xdr:col>4</xdr:col>
      <xdr:colOff>533401</xdr:colOff>
      <xdr:row>21</xdr:row>
      <xdr:rowOff>190500</xdr:rowOff>
    </xdr:from>
    <xdr:to>
      <xdr:col>13</xdr:col>
      <xdr:colOff>28575</xdr:colOff>
      <xdr:row>41</xdr:row>
      <xdr:rowOff>247649</xdr:rowOff>
    </xdr:to>
    <xdr:pic>
      <xdr:nvPicPr>
        <xdr:cNvPr id="12302" name="Picture 14"/>
        <xdr:cNvPicPr>
          <a:picLocks noChangeAspect="1" noChangeArrowheads="1"/>
        </xdr:cNvPicPr>
      </xdr:nvPicPr>
      <xdr:blipFill>
        <a:blip xmlns:r="http://schemas.openxmlformats.org/officeDocument/2006/relationships" r:embed="rId5" cstate="print"/>
        <a:srcRect/>
        <a:stretch>
          <a:fillRect/>
        </a:stretch>
      </xdr:blipFill>
      <xdr:spPr bwMode="auto">
        <a:xfrm>
          <a:off x="5905501" y="5438775"/>
          <a:ext cx="6296024" cy="5010149"/>
        </a:xfrm>
        <a:prstGeom prst="rect">
          <a:avLst/>
        </a:prstGeom>
        <a:noFill/>
        <a:ln w="1">
          <a:noFill/>
          <a:miter lim="800000"/>
          <a:headEnd/>
          <a:tailEnd type="none" w="med" len="med"/>
        </a:ln>
        <a:effectLst/>
      </xdr:spPr>
    </xdr:pic>
    <xdr:clientData/>
  </xdr:twoCellAnchor>
  <xdr:twoCellAnchor editAs="oneCell">
    <xdr:from>
      <xdr:col>0</xdr:col>
      <xdr:colOff>0</xdr:colOff>
      <xdr:row>106</xdr:row>
      <xdr:rowOff>123825</xdr:rowOff>
    </xdr:from>
    <xdr:to>
      <xdr:col>5</xdr:col>
      <xdr:colOff>19050</xdr:colOff>
      <xdr:row>116</xdr:row>
      <xdr:rowOff>152634</xdr:rowOff>
    </xdr:to>
    <xdr:pic>
      <xdr:nvPicPr>
        <xdr:cNvPr id="12306" name="Picture 18"/>
        <xdr:cNvPicPr>
          <a:picLocks noChangeAspect="1" noChangeArrowheads="1"/>
        </xdr:cNvPicPr>
      </xdr:nvPicPr>
      <xdr:blipFill>
        <a:blip xmlns:r="http://schemas.openxmlformats.org/officeDocument/2006/relationships" r:embed="rId6" cstate="print"/>
        <a:srcRect/>
        <a:stretch>
          <a:fillRect/>
        </a:stretch>
      </xdr:blipFill>
      <xdr:spPr bwMode="auto">
        <a:xfrm>
          <a:off x="0" y="26670000"/>
          <a:ext cx="5934075" cy="2505309"/>
        </a:xfrm>
        <a:prstGeom prst="rect">
          <a:avLst/>
        </a:prstGeom>
        <a:noFill/>
        <a:ln w="1">
          <a:noFill/>
          <a:miter lim="800000"/>
          <a:headEnd/>
          <a:tailEnd type="none" w="med" len="med"/>
        </a:ln>
        <a:effectLst/>
      </xdr:spPr>
    </xdr:pic>
    <xdr:clientData/>
  </xdr:twoCellAnchor>
  <xdr:twoCellAnchor editAs="oneCell">
    <xdr:from>
      <xdr:col>0</xdr:col>
      <xdr:colOff>0</xdr:colOff>
      <xdr:row>82</xdr:row>
      <xdr:rowOff>0</xdr:rowOff>
    </xdr:from>
    <xdr:to>
      <xdr:col>5</xdr:col>
      <xdr:colOff>25365</xdr:colOff>
      <xdr:row>106</xdr:row>
      <xdr:rowOff>133350</xdr:rowOff>
    </xdr:to>
    <xdr:pic>
      <xdr:nvPicPr>
        <xdr:cNvPr id="12307" name="Picture 19"/>
        <xdr:cNvPicPr>
          <a:picLocks noChangeAspect="1" noChangeArrowheads="1"/>
        </xdr:cNvPicPr>
      </xdr:nvPicPr>
      <xdr:blipFill>
        <a:blip xmlns:r="http://schemas.openxmlformats.org/officeDocument/2006/relationships" r:embed="rId7" cstate="print"/>
        <a:srcRect/>
        <a:stretch>
          <a:fillRect/>
        </a:stretch>
      </xdr:blipFill>
      <xdr:spPr bwMode="auto">
        <a:xfrm>
          <a:off x="0" y="20602575"/>
          <a:ext cx="5940390" cy="6076950"/>
        </a:xfrm>
        <a:prstGeom prst="rect">
          <a:avLst/>
        </a:prstGeom>
        <a:noFill/>
        <a:ln w="1">
          <a:noFill/>
          <a:miter lim="800000"/>
          <a:headEnd/>
          <a:tailEnd type="none" w="med" len="med"/>
        </a:ln>
        <a:effectLst/>
      </xdr:spPr>
    </xdr:pic>
    <xdr:clientData/>
  </xdr:twoCellAnchor>
  <xdr:twoCellAnchor editAs="oneCell">
    <xdr:from>
      <xdr:col>5</xdr:col>
      <xdr:colOff>0</xdr:colOff>
      <xdr:row>41</xdr:row>
      <xdr:rowOff>228600</xdr:rowOff>
    </xdr:from>
    <xdr:to>
      <xdr:col>13</xdr:col>
      <xdr:colOff>28575</xdr:colOff>
      <xdr:row>56</xdr:row>
      <xdr:rowOff>66675</xdr:rowOff>
    </xdr:to>
    <xdr:pic>
      <xdr:nvPicPr>
        <xdr:cNvPr id="26" name="Picture 15"/>
        <xdr:cNvPicPr>
          <a:picLocks noChangeAspect="1" noChangeArrowheads="1"/>
        </xdr:cNvPicPr>
      </xdr:nvPicPr>
      <xdr:blipFill>
        <a:blip xmlns:r="http://schemas.openxmlformats.org/officeDocument/2006/relationships" r:embed="rId8" cstate="print"/>
        <a:srcRect/>
        <a:stretch>
          <a:fillRect/>
        </a:stretch>
      </xdr:blipFill>
      <xdr:spPr bwMode="auto">
        <a:xfrm>
          <a:off x="5915025" y="10429875"/>
          <a:ext cx="6286500" cy="3552825"/>
        </a:xfrm>
        <a:prstGeom prst="rect">
          <a:avLst/>
        </a:prstGeom>
        <a:noFill/>
        <a:ln w="1">
          <a:noFill/>
          <a:miter lim="800000"/>
          <a:headEnd/>
          <a:tailEnd type="none" w="med" len="med"/>
        </a:ln>
        <a:effectLst/>
      </xdr:spPr>
    </xdr:pic>
    <xdr:clientData/>
  </xdr:twoCellAnchor>
  <xdr:twoCellAnchor editAs="oneCell">
    <xdr:from>
      <xdr:col>9</xdr:col>
      <xdr:colOff>295277</xdr:colOff>
      <xdr:row>2</xdr:row>
      <xdr:rowOff>1</xdr:rowOff>
    </xdr:from>
    <xdr:to>
      <xdr:col>13</xdr:col>
      <xdr:colOff>180976</xdr:colOff>
      <xdr:row>9</xdr:row>
      <xdr:rowOff>95250</xdr:rowOff>
    </xdr:to>
    <xdr:pic>
      <xdr:nvPicPr>
        <xdr:cNvPr id="13328" name="Picture 16"/>
        <xdr:cNvPicPr>
          <a:picLocks noChangeAspect="1" noChangeArrowheads="1"/>
        </xdr:cNvPicPr>
      </xdr:nvPicPr>
      <xdr:blipFill>
        <a:blip xmlns:r="http://schemas.openxmlformats.org/officeDocument/2006/relationships" r:embed="rId9" cstate="print"/>
        <a:srcRect/>
        <a:stretch>
          <a:fillRect/>
        </a:stretch>
      </xdr:blipFill>
      <xdr:spPr bwMode="auto">
        <a:xfrm>
          <a:off x="9448802" y="542926"/>
          <a:ext cx="2905124" cy="1828799"/>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1" name="五边形 10">
          <a:hlinkClick xmlns:r="http://schemas.openxmlformats.org/officeDocument/2006/relationships" r:id="rId10"/>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13</xdr:col>
      <xdr:colOff>152400</xdr:colOff>
      <xdr:row>18</xdr:row>
      <xdr:rowOff>219075</xdr:rowOff>
    </xdr:to>
    <xdr:pic>
      <xdr:nvPicPr>
        <xdr:cNvPr id="12290"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5915025" y="542925"/>
          <a:ext cx="6000750" cy="4429125"/>
        </a:xfrm>
        <a:prstGeom prst="rect">
          <a:avLst/>
        </a:prstGeom>
        <a:noFill/>
        <a:ln w="1">
          <a:noFill/>
          <a:miter lim="800000"/>
          <a:headEnd/>
          <a:tailEnd type="none" w="med" len="med"/>
        </a:ln>
        <a:effectLst/>
      </xdr:spPr>
    </xdr:pic>
    <xdr:clientData/>
  </xdr:twoCellAnchor>
  <xdr:twoCellAnchor editAs="oneCell">
    <xdr:from>
      <xdr:col>5</xdr:col>
      <xdr:colOff>0</xdr:colOff>
      <xdr:row>18</xdr:row>
      <xdr:rowOff>228600</xdr:rowOff>
    </xdr:from>
    <xdr:to>
      <xdr:col>13</xdr:col>
      <xdr:colOff>161925</xdr:colOff>
      <xdr:row>38</xdr:row>
      <xdr:rowOff>228600</xdr:rowOff>
    </xdr:to>
    <xdr:pic>
      <xdr:nvPicPr>
        <xdr:cNvPr id="12291"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915025" y="4981575"/>
          <a:ext cx="6010275" cy="4953000"/>
        </a:xfrm>
        <a:prstGeom prst="rect">
          <a:avLst/>
        </a:prstGeom>
        <a:noFill/>
        <a:ln w="1">
          <a:noFill/>
          <a:miter lim="800000"/>
          <a:headEnd/>
          <a:tailEnd type="none" w="med" len="med"/>
        </a:ln>
        <a:effectLst/>
      </xdr:spPr>
    </xdr:pic>
    <xdr:clientData/>
  </xdr:twoCellAnchor>
  <xdr:twoCellAnchor editAs="oneCell">
    <xdr:from>
      <xdr:col>14</xdr:col>
      <xdr:colOff>0</xdr:colOff>
      <xdr:row>1</xdr:row>
      <xdr:rowOff>0</xdr:rowOff>
    </xdr:from>
    <xdr:to>
      <xdr:col>22</xdr:col>
      <xdr:colOff>542925</xdr:colOff>
      <xdr:row>18</xdr:row>
      <xdr:rowOff>19050</xdr:rowOff>
    </xdr:to>
    <xdr:pic>
      <xdr:nvPicPr>
        <xdr:cNvPr id="12292" name="Picture 4"/>
        <xdr:cNvPicPr>
          <a:picLocks noChangeAspect="1" noChangeArrowheads="1"/>
        </xdr:cNvPicPr>
      </xdr:nvPicPr>
      <xdr:blipFill>
        <a:blip xmlns:r="http://schemas.openxmlformats.org/officeDocument/2006/relationships" r:embed="rId3" cstate="print"/>
        <a:srcRect/>
        <a:stretch>
          <a:fillRect/>
        </a:stretch>
      </xdr:blipFill>
      <xdr:spPr bwMode="auto">
        <a:xfrm>
          <a:off x="12573000" y="542925"/>
          <a:ext cx="6715125" cy="4229100"/>
        </a:xfrm>
        <a:prstGeom prst="rect">
          <a:avLst/>
        </a:prstGeom>
        <a:noFill/>
        <a:ln w="1">
          <a:noFill/>
          <a:miter lim="800000"/>
          <a:headEnd/>
          <a:tailEnd type="none" w="med" len="med"/>
        </a:ln>
        <a:effectLst/>
      </xdr:spPr>
    </xdr:pic>
    <xdr:clientData/>
  </xdr:twoCellAnchor>
  <xdr:twoCellAnchor editAs="oneCell">
    <xdr:from>
      <xdr:col>14</xdr:col>
      <xdr:colOff>9525</xdr:colOff>
      <xdr:row>18</xdr:row>
      <xdr:rowOff>0</xdr:rowOff>
    </xdr:from>
    <xdr:to>
      <xdr:col>22</xdr:col>
      <xdr:colOff>571500</xdr:colOff>
      <xdr:row>36</xdr:row>
      <xdr:rowOff>200025</xdr:rowOff>
    </xdr:to>
    <xdr:pic>
      <xdr:nvPicPr>
        <xdr:cNvPr id="12293" name="Picture 5"/>
        <xdr:cNvPicPr>
          <a:picLocks noChangeAspect="1" noChangeArrowheads="1"/>
        </xdr:cNvPicPr>
      </xdr:nvPicPr>
      <xdr:blipFill>
        <a:blip xmlns:r="http://schemas.openxmlformats.org/officeDocument/2006/relationships" r:embed="rId4" cstate="print"/>
        <a:srcRect/>
        <a:stretch>
          <a:fillRect/>
        </a:stretch>
      </xdr:blipFill>
      <xdr:spPr bwMode="auto">
        <a:xfrm>
          <a:off x="12582525" y="4752975"/>
          <a:ext cx="6734175" cy="4657725"/>
        </a:xfrm>
        <a:prstGeom prst="rect">
          <a:avLst/>
        </a:prstGeom>
        <a:noFill/>
        <a:ln w="1">
          <a:noFill/>
          <a:miter lim="800000"/>
          <a:headEnd/>
          <a:tailEnd type="none" w="med" len="med"/>
        </a:ln>
        <a:effectLst/>
      </xdr:spPr>
    </xdr:pic>
    <xdr:clientData/>
  </xdr:twoCellAnchor>
  <xdr:twoCellAnchor editAs="oneCell">
    <xdr:from>
      <xdr:col>5</xdr:col>
      <xdr:colOff>0</xdr:colOff>
      <xdr:row>39</xdr:row>
      <xdr:rowOff>1</xdr:rowOff>
    </xdr:from>
    <xdr:to>
      <xdr:col>13</xdr:col>
      <xdr:colOff>171450</xdr:colOff>
      <xdr:row>54</xdr:row>
      <xdr:rowOff>64727</xdr:rowOff>
    </xdr:to>
    <xdr:pic>
      <xdr:nvPicPr>
        <xdr:cNvPr id="17" name="Picture 6"/>
        <xdr:cNvPicPr>
          <a:picLocks noChangeAspect="1" noChangeArrowheads="1"/>
        </xdr:cNvPicPr>
      </xdr:nvPicPr>
      <xdr:blipFill>
        <a:blip xmlns:r="http://schemas.openxmlformats.org/officeDocument/2006/relationships" r:embed="rId5" cstate="print"/>
        <a:srcRect/>
        <a:stretch>
          <a:fillRect/>
        </a:stretch>
      </xdr:blipFill>
      <xdr:spPr bwMode="auto">
        <a:xfrm>
          <a:off x="5915025" y="9953626"/>
          <a:ext cx="6019800" cy="3779476"/>
        </a:xfrm>
        <a:prstGeom prst="rect">
          <a:avLst/>
        </a:prstGeom>
        <a:noFill/>
        <a:ln w="1">
          <a:noFill/>
          <a:miter lim="800000"/>
          <a:headEnd/>
          <a:tailEnd type="none" w="med" len="med"/>
        </a:ln>
        <a:effectLst/>
      </xdr:spPr>
    </xdr:pic>
    <xdr:clientData/>
  </xdr:twoCellAnchor>
  <xdr:twoCellAnchor editAs="oneCell">
    <xdr:from>
      <xdr:col>4</xdr:col>
      <xdr:colOff>533402</xdr:colOff>
      <xdr:row>55</xdr:row>
      <xdr:rowOff>66676</xdr:rowOff>
    </xdr:from>
    <xdr:to>
      <xdr:col>13</xdr:col>
      <xdr:colOff>171451</xdr:colOff>
      <xdr:row>72</xdr:row>
      <xdr:rowOff>49138</xdr:rowOff>
    </xdr:to>
    <xdr:pic>
      <xdr:nvPicPr>
        <xdr:cNvPr id="12295" name="Picture 7"/>
        <xdr:cNvPicPr>
          <a:picLocks noChangeAspect="1" noChangeArrowheads="1"/>
        </xdr:cNvPicPr>
      </xdr:nvPicPr>
      <xdr:blipFill>
        <a:blip xmlns:r="http://schemas.openxmlformats.org/officeDocument/2006/relationships" r:embed="rId6" cstate="print"/>
        <a:srcRect/>
        <a:stretch>
          <a:fillRect/>
        </a:stretch>
      </xdr:blipFill>
      <xdr:spPr bwMode="auto">
        <a:xfrm>
          <a:off x="5905502" y="13735051"/>
          <a:ext cx="6029324" cy="4192512"/>
        </a:xfrm>
        <a:prstGeom prst="rect">
          <a:avLst/>
        </a:prstGeom>
        <a:noFill/>
        <a:ln w="1">
          <a:noFill/>
          <a:miter lim="800000"/>
          <a:headEnd/>
          <a:tailEnd type="none" w="med" len="med"/>
        </a:ln>
        <a:effectLst/>
      </xdr:spPr>
    </xdr:pic>
    <xdr:clientData/>
  </xdr:twoCellAnchor>
  <xdr:twoCellAnchor editAs="oneCell">
    <xdr:from>
      <xdr:col>14</xdr:col>
      <xdr:colOff>0</xdr:colOff>
      <xdr:row>37</xdr:row>
      <xdr:rowOff>0</xdr:rowOff>
    </xdr:from>
    <xdr:to>
      <xdr:col>21</xdr:col>
      <xdr:colOff>495300</xdr:colOff>
      <xdr:row>54</xdr:row>
      <xdr:rowOff>123825</xdr:rowOff>
    </xdr:to>
    <xdr:pic>
      <xdr:nvPicPr>
        <xdr:cNvPr id="12296" name="Picture 8"/>
        <xdr:cNvPicPr>
          <a:picLocks noChangeAspect="1" noChangeArrowheads="1"/>
        </xdr:cNvPicPr>
      </xdr:nvPicPr>
      <xdr:blipFill>
        <a:blip xmlns:r="http://schemas.openxmlformats.org/officeDocument/2006/relationships" r:embed="rId7" cstate="print"/>
        <a:srcRect/>
        <a:stretch>
          <a:fillRect/>
        </a:stretch>
      </xdr:blipFill>
      <xdr:spPr bwMode="auto">
        <a:xfrm>
          <a:off x="12573000" y="9458325"/>
          <a:ext cx="6010275" cy="4333875"/>
        </a:xfrm>
        <a:prstGeom prst="rect">
          <a:avLst/>
        </a:prstGeom>
        <a:noFill/>
        <a:ln w="1">
          <a:noFill/>
          <a:miter lim="800000"/>
          <a:headEnd/>
          <a:tailEnd type="none" w="med" len="med"/>
        </a:ln>
        <a:effectLst/>
      </xdr:spPr>
    </xdr:pic>
    <xdr:clientData/>
  </xdr:twoCellAnchor>
  <xdr:twoCellAnchor editAs="oneCell">
    <xdr:from>
      <xdr:col>14</xdr:col>
      <xdr:colOff>0</xdr:colOff>
      <xdr:row>54</xdr:row>
      <xdr:rowOff>142875</xdr:rowOff>
    </xdr:from>
    <xdr:to>
      <xdr:col>21</xdr:col>
      <xdr:colOff>495300</xdr:colOff>
      <xdr:row>72</xdr:row>
      <xdr:rowOff>209550</xdr:rowOff>
    </xdr:to>
    <xdr:pic>
      <xdr:nvPicPr>
        <xdr:cNvPr id="12297" name="Picture 9"/>
        <xdr:cNvPicPr>
          <a:picLocks noChangeAspect="1" noChangeArrowheads="1"/>
        </xdr:cNvPicPr>
      </xdr:nvPicPr>
      <xdr:blipFill>
        <a:blip xmlns:r="http://schemas.openxmlformats.org/officeDocument/2006/relationships" r:embed="rId8" cstate="print"/>
        <a:srcRect/>
        <a:stretch>
          <a:fillRect/>
        </a:stretch>
      </xdr:blipFill>
      <xdr:spPr bwMode="auto">
        <a:xfrm>
          <a:off x="12573000" y="13811250"/>
          <a:ext cx="6010275" cy="4524375"/>
        </a:xfrm>
        <a:prstGeom prst="rect">
          <a:avLst/>
        </a:prstGeom>
        <a:noFill/>
        <a:ln w="1">
          <a:noFill/>
          <a:miter lim="800000"/>
          <a:headEnd/>
          <a:tailEnd type="none" w="med" len="med"/>
        </a:ln>
        <a:effectLst/>
      </xdr:spPr>
    </xdr:pic>
    <xdr:clientData/>
  </xdr:twoCellAnchor>
  <xdr:twoCellAnchor editAs="oneCell">
    <xdr:from>
      <xdr:col>2</xdr:col>
      <xdr:colOff>266700</xdr:colOff>
      <xdr:row>17</xdr:row>
      <xdr:rowOff>0</xdr:rowOff>
    </xdr:from>
    <xdr:to>
      <xdr:col>3</xdr:col>
      <xdr:colOff>762000</xdr:colOff>
      <xdr:row>20</xdr:row>
      <xdr:rowOff>123825</xdr:rowOff>
    </xdr:to>
    <xdr:pic>
      <xdr:nvPicPr>
        <xdr:cNvPr id="12304" name="Picture 16"/>
        <xdr:cNvPicPr>
          <a:picLocks noChangeAspect="1" noChangeArrowheads="1"/>
        </xdr:cNvPicPr>
      </xdr:nvPicPr>
      <xdr:blipFill>
        <a:blip xmlns:r="http://schemas.openxmlformats.org/officeDocument/2006/relationships" r:embed="rId9" cstate="print"/>
        <a:srcRect/>
        <a:stretch>
          <a:fillRect/>
        </a:stretch>
      </xdr:blipFill>
      <xdr:spPr bwMode="auto">
        <a:xfrm>
          <a:off x="3209925" y="4752975"/>
          <a:ext cx="1828800" cy="866775"/>
        </a:xfrm>
        <a:prstGeom prst="rect">
          <a:avLst/>
        </a:prstGeom>
        <a:noFill/>
        <a:ln w="1">
          <a:noFill/>
          <a:miter lim="800000"/>
          <a:headEnd/>
          <a:tailEnd type="none" w="med" len="med"/>
        </a:ln>
        <a:effectLst/>
      </xdr:spPr>
    </xdr:pic>
    <xdr:clientData/>
  </xdr:twoCellAnchor>
  <xdr:twoCellAnchor editAs="oneCell">
    <xdr:from>
      <xdr:col>0</xdr:col>
      <xdr:colOff>0</xdr:colOff>
      <xdr:row>17</xdr:row>
      <xdr:rowOff>38100</xdr:rowOff>
    </xdr:from>
    <xdr:to>
      <xdr:col>1</xdr:col>
      <xdr:colOff>596851</xdr:colOff>
      <xdr:row>21</xdr:row>
      <xdr:rowOff>219075</xdr:rowOff>
    </xdr:to>
    <xdr:pic>
      <xdr:nvPicPr>
        <xdr:cNvPr id="12305" name="Picture 17"/>
        <xdr:cNvPicPr>
          <a:picLocks noChangeAspect="1" noChangeArrowheads="1"/>
        </xdr:cNvPicPr>
      </xdr:nvPicPr>
      <xdr:blipFill>
        <a:blip xmlns:r="http://schemas.openxmlformats.org/officeDocument/2006/relationships" r:embed="rId10" cstate="print"/>
        <a:srcRect/>
        <a:stretch>
          <a:fillRect/>
        </a:stretch>
      </xdr:blipFill>
      <xdr:spPr bwMode="auto">
        <a:xfrm>
          <a:off x="0" y="4791075"/>
          <a:ext cx="1730326" cy="1171575"/>
        </a:xfrm>
        <a:prstGeom prst="rect">
          <a:avLst/>
        </a:prstGeom>
        <a:noFill/>
        <a:ln w="1">
          <a:noFill/>
          <a:miter lim="800000"/>
          <a:headEnd/>
          <a:tailEnd type="none" w="med" len="med"/>
        </a:ln>
        <a:effectLst/>
      </xdr:spPr>
    </xdr:pic>
    <xdr:clientData/>
  </xdr:twoCellAnchor>
  <xdr:twoCellAnchor editAs="oneCell">
    <xdr:from>
      <xdr:col>1</xdr:col>
      <xdr:colOff>295275</xdr:colOff>
      <xdr:row>17</xdr:row>
      <xdr:rowOff>66675</xdr:rowOff>
    </xdr:from>
    <xdr:to>
      <xdr:col>2</xdr:col>
      <xdr:colOff>190500</xdr:colOff>
      <xdr:row>21</xdr:row>
      <xdr:rowOff>133350</xdr:rowOff>
    </xdr:to>
    <xdr:pic>
      <xdr:nvPicPr>
        <xdr:cNvPr id="12303" name="Picture 15"/>
        <xdr:cNvPicPr>
          <a:picLocks noChangeAspect="1" noChangeArrowheads="1"/>
        </xdr:cNvPicPr>
      </xdr:nvPicPr>
      <xdr:blipFill>
        <a:blip xmlns:r="http://schemas.openxmlformats.org/officeDocument/2006/relationships" r:embed="rId11" cstate="print"/>
        <a:srcRect/>
        <a:stretch>
          <a:fillRect/>
        </a:stretch>
      </xdr:blipFill>
      <xdr:spPr bwMode="auto">
        <a:xfrm>
          <a:off x="1428750" y="4819650"/>
          <a:ext cx="1704975" cy="1057275"/>
        </a:xfrm>
        <a:prstGeom prst="rect">
          <a:avLst/>
        </a:prstGeom>
        <a:noFill/>
        <a:ln w="1">
          <a:noFill/>
          <a:miter lim="800000"/>
          <a:headEnd/>
          <a:tailEnd type="none" w="med" len="med"/>
        </a:ln>
        <a:effectLst/>
      </xdr:spPr>
    </xdr:pic>
    <xdr:clientData/>
  </xdr:twoCellAnchor>
  <xdr:twoCellAnchor editAs="oneCell">
    <xdr:from>
      <xdr:col>0</xdr:col>
      <xdr:colOff>0</xdr:colOff>
      <xdr:row>27</xdr:row>
      <xdr:rowOff>0</xdr:rowOff>
    </xdr:from>
    <xdr:to>
      <xdr:col>4</xdr:col>
      <xdr:colOff>428625</xdr:colOff>
      <xdr:row>47</xdr:row>
      <xdr:rowOff>161925</xdr:rowOff>
    </xdr:to>
    <xdr:pic>
      <xdr:nvPicPr>
        <xdr:cNvPr id="13314" name="Picture 2"/>
        <xdr:cNvPicPr>
          <a:picLocks noChangeAspect="1" noChangeArrowheads="1"/>
        </xdr:cNvPicPr>
      </xdr:nvPicPr>
      <xdr:blipFill>
        <a:blip xmlns:r="http://schemas.openxmlformats.org/officeDocument/2006/relationships" r:embed="rId12" cstate="print"/>
        <a:srcRect/>
        <a:stretch>
          <a:fillRect/>
        </a:stretch>
      </xdr:blipFill>
      <xdr:spPr bwMode="auto">
        <a:xfrm>
          <a:off x="0" y="6734175"/>
          <a:ext cx="5838825" cy="5114925"/>
        </a:xfrm>
        <a:prstGeom prst="rect">
          <a:avLst/>
        </a:prstGeom>
        <a:noFill/>
        <a:ln w="1">
          <a:noFill/>
          <a:miter lim="800000"/>
          <a:headEnd/>
          <a:tailEnd type="none" w="med" len="med"/>
        </a:ln>
        <a:effectLst/>
      </xdr:spPr>
    </xdr:pic>
    <xdr:clientData/>
  </xdr:twoCellAnchor>
  <xdr:twoCellAnchor editAs="oneCell">
    <xdr:from>
      <xdr:col>0</xdr:col>
      <xdr:colOff>0</xdr:colOff>
      <xdr:row>47</xdr:row>
      <xdr:rowOff>133350</xdr:rowOff>
    </xdr:from>
    <xdr:to>
      <xdr:col>4</xdr:col>
      <xdr:colOff>409575</xdr:colOff>
      <xdr:row>69</xdr:row>
      <xdr:rowOff>57150</xdr:rowOff>
    </xdr:to>
    <xdr:pic>
      <xdr:nvPicPr>
        <xdr:cNvPr id="13315" name="Picture 3"/>
        <xdr:cNvPicPr>
          <a:picLocks noChangeAspect="1" noChangeArrowheads="1"/>
        </xdr:cNvPicPr>
      </xdr:nvPicPr>
      <xdr:blipFill>
        <a:blip xmlns:r="http://schemas.openxmlformats.org/officeDocument/2006/relationships" r:embed="rId13" cstate="print"/>
        <a:srcRect/>
        <a:stretch>
          <a:fillRect/>
        </a:stretch>
      </xdr:blipFill>
      <xdr:spPr bwMode="auto">
        <a:xfrm>
          <a:off x="0" y="11820525"/>
          <a:ext cx="5819775" cy="5372100"/>
        </a:xfrm>
        <a:prstGeom prst="rect">
          <a:avLst/>
        </a:prstGeom>
        <a:noFill/>
        <a:ln w="1">
          <a:noFill/>
          <a:miter lim="800000"/>
          <a:headEnd/>
          <a:tailEnd type="none" w="med" len="med"/>
        </a:ln>
        <a:effectLst/>
      </xdr:spPr>
    </xdr:pic>
    <xdr:clientData/>
  </xdr:twoCellAnchor>
  <xdr:twoCellAnchor editAs="oneCell">
    <xdr:from>
      <xdr:col>0</xdr:col>
      <xdr:colOff>0</xdr:colOff>
      <xdr:row>69</xdr:row>
      <xdr:rowOff>0</xdr:rowOff>
    </xdr:from>
    <xdr:to>
      <xdr:col>4</xdr:col>
      <xdr:colOff>419100</xdr:colOff>
      <xdr:row>90</xdr:row>
      <xdr:rowOff>161925</xdr:rowOff>
    </xdr:to>
    <xdr:pic>
      <xdr:nvPicPr>
        <xdr:cNvPr id="13316" name="Picture 4"/>
        <xdr:cNvPicPr>
          <a:picLocks noChangeAspect="1" noChangeArrowheads="1"/>
        </xdr:cNvPicPr>
      </xdr:nvPicPr>
      <xdr:blipFill>
        <a:blip xmlns:r="http://schemas.openxmlformats.org/officeDocument/2006/relationships" r:embed="rId14" cstate="print"/>
        <a:srcRect/>
        <a:stretch>
          <a:fillRect/>
        </a:stretch>
      </xdr:blipFill>
      <xdr:spPr bwMode="auto">
        <a:xfrm>
          <a:off x="0" y="17135475"/>
          <a:ext cx="5829300" cy="5362575"/>
        </a:xfrm>
        <a:prstGeom prst="rect">
          <a:avLst/>
        </a:prstGeom>
        <a:noFill/>
        <a:ln w="1">
          <a:noFill/>
          <a:miter lim="800000"/>
          <a:headEnd/>
          <a:tailEnd type="none" w="med" len="med"/>
        </a:ln>
        <a:effectLst/>
      </xdr:spPr>
    </xdr:pic>
    <xdr:clientData/>
  </xdr:twoCellAnchor>
  <xdr:twoCellAnchor editAs="oneCell">
    <xdr:from>
      <xdr:col>0</xdr:col>
      <xdr:colOff>0</xdr:colOff>
      <xdr:row>90</xdr:row>
      <xdr:rowOff>142875</xdr:rowOff>
    </xdr:from>
    <xdr:to>
      <xdr:col>4</xdr:col>
      <xdr:colOff>400050</xdr:colOff>
      <xdr:row>105</xdr:row>
      <xdr:rowOff>200025</xdr:rowOff>
    </xdr:to>
    <xdr:pic>
      <xdr:nvPicPr>
        <xdr:cNvPr id="13317" name="Picture 5"/>
        <xdr:cNvPicPr>
          <a:picLocks noChangeAspect="1" noChangeArrowheads="1"/>
        </xdr:cNvPicPr>
      </xdr:nvPicPr>
      <xdr:blipFill>
        <a:blip xmlns:r="http://schemas.openxmlformats.org/officeDocument/2006/relationships" r:embed="rId15" cstate="print"/>
        <a:srcRect/>
        <a:stretch>
          <a:fillRect/>
        </a:stretch>
      </xdr:blipFill>
      <xdr:spPr bwMode="auto">
        <a:xfrm>
          <a:off x="0" y="22479000"/>
          <a:ext cx="5810250" cy="3771900"/>
        </a:xfrm>
        <a:prstGeom prst="rect">
          <a:avLst/>
        </a:prstGeom>
        <a:noFill/>
        <a:ln w="1">
          <a:noFill/>
          <a:miter lim="800000"/>
          <a:headEnd/>
          <a:tailEnd type="none" w="med" len="med"/>
        </a:ln>
        <a:effectLst/>
      </xdr:spPr>
    </xdr:pic>
    <xdr:clientData/>
  </xdr:twoCellAnchor>
  <xdr:twoCellAnchor editAs="oneCell">
    <xdr:from>
      <xdr:col>0</xdr:col>
      <xdr:colOff>0</xdr:colOff>
      <xdr:row>106</xdr:row>
      <xdr:rowOff>0</xdr:rowOff>
    </xdr:from>
    <xdr:to>
      <xdr:col>4</xdr:col>
      <xdr:colOff>419100</xdr:colOff>
      <xdr:row>121</xdr:row>
      <xdr:rowOff>190500</xdr:rowOff>
    </xdr:to>
    <xdr:pic>
      <xdr:nvPicPr>
        <xdr:cNvPr id="13318" name="Picture 6"/>
        <xdr:cNvPicPr>
          <a:picLocks noChangeAspect="1" noChangeArrowheads="1"/>
        </xdr:cNvPicPr>
      </xdr:nvPicPr>
      <xdr:blipFill>
        <a:blip xmlns:r="http://schemas.openxmlformats.org/officeDocument/2006/relationships" r:embed="rId16" cstate="print"/>
        <a:srcRect/>
        <a:stretch>
          <a:fillRect/>
        </a:stretch>
      </xdr:blipFill>
      <xdr:spPr bwMode="auto">
        <a:xfrm>
          <a:off x="0" y="26298525"/>
          <a:ext cx="5829300" cy="3905250"/>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8" name="五边形 17">
          <a:hlinkClick xmlns:r="http://schemas.openxmlformats.org/officeDocument/2006/relationships" r:id="rId17"/>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8</xdr:col>
      <xdr:colOff>209550</xdr:colOff>
      <xdr:row>5</xdr:row>
      <xdr:rowOff>152400</xdr:rowOff>
    </xdr:to>
    <xdr:pic>
      <xdr:nvPicPr>
        <xdr:cNvPr id="1536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6219825" y="295275"/>
          <a:ext cx="2638425" cy="1143000"/>
        </a:xfrm>
        <a:prstGeom prst="rect">
          <a:avLst/>
        </a:prstGeom>
        <a:noFill/>
        <a:ln w="1">
          <a:noFill/>
          <a:miter lim="800000"/>
          <a:headEnd/>
          <a:tailEnd type="none" w="med" len="med"/>
        </a:ln>
        <a:effectLst/>
      </xdr:spPr>
    </xdr:pic>
    <xdr:clientData/>
  </xdr:twoCellAnchor>
  <xdr:twoCellAnchor editAs="oneCell">
    <xdr:from>
      <xdr:col>9</xdr:col>
      <xdr:colOff>276224</xdr:colOff>
      <xdr:row>0</xdr:row>
      <xdr:rowOff>0</xdr:rowOff>
    </xdr:from>
    <xdr:to>
      <xdr:col>12</xdr:col>
      <xdr:colOff>447675</xdr:colOff>
      <xdr:row>6</xdr:row>
      <xdr:rowOff>210939</xdr:rowOff>
    </xdr:to>
    <xdr:pic>
      <xdr:nvPicPr>
        <xdr:cNvPr id="15363"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8886824" y="0"/>
          <a:ext cx="2238376" cy="1725414"/>
        </a:xfrm>
        <a:prstGeom prst="rect">
          <a:avLst/>
        </a:prstGeom>
        <a:noFill/>
        <a:ln w="1">
          <a:noFill/>
          <a:miter lim="800000"/>
          <a:headEnd/>
          <a:tailEnd type="none" w="med" len="med"/>
        </a:ln>
        <a:effectLst/>
      </xdr:spPr>
    </xdr:pic>
    <xdr:clientData/>
  </xdr:twoCellAnchor>
  <xdr:twoCellAnchor editAs="oneCell">
    <xdr:from>
      <xdr:col>5</xdr:col>
      <xdr:colOff>0</xdr:colOff>
      <xdr:row>5</xdr:row>
      <xdr:rowOff>152400</xdr:rowOff>
    </xdr:from>
    <xdr:to>
      <xdr:col>9</xdr:col>
      <xdr:colOff>166396</xdr:colOff>
      <xdr:row>6</xdr:row>
      <xdr:rowOff>209550</xdr:rowOff>
    </xdr:to>
    <xdr:pic>
      <xdr:nvPicPr>
        <xdr:cNvPr id="15364" name="Picture 4"/>
        <xdr:cNvPicPr>
          <a:picLocks noChangeAspect="1" noChangeArrowheads="1"/>
        </xdr:cNvPicPr>
      </xdr:nvPicPr>
      <xdr:blipFill>
        <a:blip xmlns:r="http://schemas.openxmlformats.org/officeDocument/2006/relationships" r:embed="rId3" cstate="print"/>
        <a:srcRect/>
        <a:stretch>
          <a:fillRect/>
        </a:stretch>
      </xdr:blipFill>
      <xdr:spPr bwMode="auto">
        <a:xfrm>
          <a:off x="6219825" y="1438275"/>
          <a:ext cx="3404896" cy="304800"/>
        </a:xfrm>
        <a:prstGeom prst="rect">
          <a:avLst/>
        </a:prstGeom>
        <a:noFill/>
        <a:ln w="1">
          <a:noFill/>
          <a:miter lim="800000"/>
          <a:headEnd/>
          <a:tailEnd type="none" w="med" len="med"/>
        </a:ln>
        <a:effectLst/>
      </xdr:spPr>
    </xdr:pic>
    <xdr:clientData/>
  </xdr:twoCellAnchor>
  <xdr:twoCellAnchor editAs="oneCell">
    <xdr:from>
      <xdr:col>5</xdr:col>
      <xdr:colOff>0</xdr:colOff>
      <xdr:row>8</xdr:row>
      <xdr:rowOff>0</xdr:rowOff>
    </xdr:from>
    <xdr:to>
      <xdr:col>15</xdr:col>
      <xdr:colOff>339560</xdr:colOff>
      <xdr:row>20</xdr:row>
      <xdr:rowOff>200025</xdr:rowOff>
    </xdr:to>
    <xdr:pic>
      <xdr:nvPicPr>
        <xdr:cNvPr id="15365" name="Picture 5"/>
        <xdr:cNvPicPr>
          <a:picLocks noChangeAspect="1" noChangeArrowheads="1"/>
        </xdr:cNvPicPr>
      </xdr:nvPicPr>
      <xdr:blipFill>
        <a:blip xmlns:r="http://schemas.openxmlformats.org/officeDocument/2006/relationships" r:embed="rId4" cstate="print"/>
        <a:srcRect/>
        <a:stretch>
          <a:fillRect/>
        </a:stretch>
      </xdr:blipFill>
      <xdr:spPr bwMode="auto">
        <a:xfrm>
          <a:off x="5353050" y="2028825"/>
          <a:ext cx="7483310" cy="3171825"/>
        </a:xfrm>
        <a:prstGeom prst="rect">
          <a:avLst/>
        </a:prstGeom>
        <a:noFill/>
        <a:ln w="1">
          <a:noFill/>
          <a:miter lim="800000"/>
          <a:headEnd/>
          <a:tailEnd type="none" w="med" len="med"/>
        </a:ln>
        <a:effectLst/>
      </xdr:spPr>
    </xdr:pic>
    <xdr:clientData/>
  </xdr:twoCellAnchor>
  <xdr:twoCellAnchor editAs="oneCell">
    <xdr:from>
      <xdr:col>5</xdr:col>
      <xdr:colOff>9524</xdr:colOff>
      <xdr:row>22</xdr:row>
      <xdr:rowOff>9525</xdr:rowOff>
    </xdr:from>
    <xdr:to>
      <xdr:col>15</xdr:col>
      <xdr:colOff>368066</xdr:colOff>
      <xdr:row>42</xdr:row>
      <xdr:rowOff>95250</xdr:rowOff>
    </xdr:to>
    <xdr:pic>
      <xdr:nvPicPr>
        <xdr:cNvPr id="12289" name="Picture 1"/>
        <xdr:cNvPicPr>
          <a:picLocks noChangeAspect="1" noChangeArrowheads="1"/>
        </xdr:cNvPicPr>
      </xdr:nvPicPr>
      <xdr:blipFill>
        <a:blip xmlns:r="http://schemas.openxmlformats.org/officeDocument/2006/relationships" r:embed="rId5" cstate="print"/>
        <a:srcRect/>
        <a:stretch>
          <a:fillRect/>
        </a:stretch>
      </xdr:blipFill>
      <xdr:spPr bwMode="auto">
        <a:xfrm>
          <a:off x="5038724" y="5505450"/>
          <a:ext cx="7502292" cy="5038725"/>
        </a:xfrm>
        <a:prstGeom prst="rect">
          <a:avLst/>
        </a:prstGeom>
        <a:noFill/>
        <a:ln w="1">
          <a:noFill/>
          <a:miter lim="800000"/>
          <a:headEnd/>
          <a:tailEnd type="none" w="med" len="med"/>
        </a:ln>
        <a:effectLst/>
      </xdr:spPr>
    </xdr:pic>
    <xdr:clientData/>
  </xdr:twoCellAnchor>
  <xdr:twoCellAnchor editAs="oneCell">
    <xdr:from>
      <xdr:col>0</xdr:col>
      <xdr:colOff>0</xdr:colOff>
      <xdr:row>48</xdr:row>
      <xdr:rowOff>9525</xdr:rowOff>
    </xdr:from>
    <xdr:to>
      <xdr:col>2</xdr:col>
      <xdr:colOff>800100</xdr:colOff>
      <xdr:row>77</xdr:row>
      <xdr:rowOff>0</xdr:rowOff>
    </xdr:to>
    <xdr:pic>
      <xdr:nvPicPr>
        <xdr:cNvPr id="15361" name="Picture 1"/>
        <xdr:cNvPicPr>
          <a:picLocks noChangeAspect="1" noChangeArrowheads="1"/>
        </xdr:cNvPicPr>
      </xdr:nvPicPr>
      <xdr:blipFill>
        <a:blip xmlns:r="http://schemas.openxmlformats.org/officeDocument/2006/relationships" r:embed="rId6" cstate="print"/>
        <a:srcRect/>
        <a:stretch>
          <a:fillRect/>
        </a:stretch>
      </xdr:blipFill>
      <xdr:spPr bwMode="auto">
        <a:xfrm>
          <a:off x="0" y="8477250"/>
          <a:ext cx="3343275" cy="7172325"/>
        </a:xfrm>
        <a:prstGeom prst="rect">
          <a:avLst/>
        </a:prstGeom>
        <a:noFill/>
        <a:ln w="1">
          <a:noFill/>
          <a:miter lim="800000"/>
          <a:headEnd/>
          <a:tailEnd type="none" w="med" len="med"/>
        </a:ln>
        <a:effectLst/>
      </xdr:spPr>
    </xdr:pic>
    <xdr:clientData/>
  </xdr:twoCellAnchor>
  <xdr:twoCellAnchor editAs="oneCell">
    <xdr:from>
      <xdr:col>2</xdr:col>
      <xdr:colOff>762000</xdr:colOff>
      <xdr:row>48</xdr:row>
      <xdr:rowOff>28575</xdr:rowOff>
    </xdr:from>
    <xdr:to>
      <xdr:col>3</xdr:col>
      <xdr:colOff>1238250</xdr:colOff>
      <xdr:row>57</xdr:row>
      <xdr:rowOff>0</xdr:rowOff>
    </xdr:to>
    <xdr:pic>
      <xdr:nvPicPr>
        <xdr:cNvPr id="2" name="Picture 2"/>
        <xdr:cNvPicPr>
          <a:picLocks noChangeAspect="1" noChangeArrowheads="1"/>
        </xdr:cNvPicPr>
      </xdr:nvPicPr>
      <xdr:blipFill>
        <a:blip xmlns:r="http://schemas.openxmlformats.org/officeDocument/2006/relationships" r:embed="rId7" cstate="print"/>
        <a:srcRect/>
        <a:stretch>
          <a:fillRect/>
        </a:stretch>
      </xdr:blipFill>
      <xdr:spPr bwMode="auto">
        <a:xfrm>
          <a:off x="3305175" y="8496300"/>
          <a:ext cx="1323975" cy="2200275"/>
        </a:xfrm>
        <a:prstGeom prst="rect">
          <a:avLst/>
        </a:prstGeom>
        <a:noFill/>
        <a:ln w="1">
          <a:noFill/>
          <a:miter lim="800000"/>
          <a:headEnd/>
          <a:tailEnd type="none" w="med" len="med"/>
        </a:ln>
        <a:effectLst/>
      </xdr:spPr>
    </xdr:pic>
    <xdr:clientData/>
  </xdr:twoCellAnchor>
  <xdr:twoCellAnchor editAs="oneCell">
    <xdr:from>
      <xdr:col>5</xdr:col>
      <xdr:colOff>0</xdr:colOff>
      <xdr:row>44</xdr:row>
      <xdr:rowOff>0</xdr:rowOff>
    </xdr:from>
    <xdr:to>
      <xdr:col>15</xdr:col>
      <xdr:colOff>762000</xdr:colOff>
      <xdr:row>56</xdr:row>
      <xdr:rowOff>104775</xdr:rowOff>
    </xdr:to>
    <xdr:pic>
      <xdr:nvPicPr>
        <xdr:cNvPr id="15366" name="Picture 6"/>
        <xdr:cNvPicPr>
          <a:picLocks noChangeAspect="1" noChangeArrowheads="1"/>
        </xdr:cNvPicPr>
      </xdr:nvPicPr>
      <xdr:blipFill>
        <a:blip xmlns:r="http://schemas.openxmlformats.org/officeDocument/2006/relationships" r:embed="rId8" cstate="print"/>
        <a:srcRect/>
        <a:stretch>
          <a:fillRect/>
        </a:stretch>
      </xdr:blipFill>
      <xdr:spPr bwMode="auto">
        <a:xfrm>
          <a:off x="5105400" y="10944225"/>
          <a:ext cx="7905750" cy="3076575"/>
        </a:xfrm>
        <a:prstGeom prst="rect">
          <a:avLst/>
        </a:prstGeom>
        <a:noFill/>
        <a:ln w="1">
          <a:noFill/>
          <a:miter lim="800000"/>
          <a:headEnd/>
          <a:tailEnd type="none" w="med" len="med"/>
        </a:ln>
        <a:effectLst/>
      </xdr:spPr>
    </xdr:pic>
    <xdr:clientData/>
  </xdr:twoCellAnchor>
  <xdr:twoCellAnchor>
    <xdr:from>
      <xdr:col>9</xdr:col>
      <xdr:colOff>457200</xdr:colOff>
      <xdr:row>44</xdr:row>
      <xdr:rowOff>180975</xdr:rowOff>
    </xdr:from>
    <xdr:to>
      <xdr:col>10</xdr:col>
      <xdr:colOff>504825</xdr:colOff>
      <xdr:row>56</xdr:row>
      <xdr:rowOff>66675</xdr:rowOff>
    </xdr:to>
    <xdr:sp macro="" textlink="">
      <xdr:nvSpPr>
        <xdr:cNvPr id="13" name="矩形 12"/>
        <xdr:cNvSpPr/>
      </xdr:nvSpPr>
      <xdr:spPr>
        <a:xfrm>
          <a:off x="8801100" y="11125200"/>
          <a:ext cx="857250" cy="2857500"/>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lang="zh-CN" altLang="en-US" sz="1100"/>
        </a:p>
      </xdr:txBody>
    </xdr:sp>
    <xdr:clientData/>
  </xdr:twoCellAnchor>
  <xdr:twoCellAnchor editAs="oneCell">
    <xdr:from>
      <xdr:col>15</xdr:col>
      <xdr:colOff>771525</xdr:colOff>
      <xdr:row>44</xdr:row>
      <xdr:rowOff>0</xdr:rowOff>
    </xdr:from>
    <xdr:to>
      <xdr:col>18</xdr:col>
      <xdr:colOff>209550</xdr:colOff>
      <xdr:row>50</xdr:row>
      <xdr:rowOff>47625</xdr:rowOff>
    </xdr:to>
    <xdr:pic>
      <xdr:nvPicPr>
        <xdr:cNvPr id="15367" name="Picture 7"/>
        <xdr:cNvPicPr>
          <a:picLocks noChangeAspect="1" noChangeArrowheads="1"/>
        </xdr:cNvPicPr>
      </xdr:nvPicPr>
      <xdr:blipFill>
        <a:blip xmlns:r="http://schemas.openxmlformats.org/officeDocument/2006/relationships" r:embed="rId9" cstate="print"/>
        <a:srcRect/>
        <a:stretch>
          <a:fillRect/>
        </a:stretch>
      </xdr:blipFill>
      <xdr:spPr bwMode="auto">
        <a:xfrm>
          <a:off x="13020675" y="10944225"/>
          <a:ext cx="1866900" cy="1533525"/>
        </a:xfrm>
        <a:prstGeom prst="rect">
          <a:avLst/>
        </a:prstGeom>
        <a:noFill/>
        <a:ln w="1">
          <a:noFill/>
          <a:miter lim="800000"/>
          <a:headEnd/>
          <a:tailEnd type="none" w="med" len="med"/>
        </a:ln>
        <a:effectLst/>
      </xdr:spPr>
    </xdr:pic>
    <xdr:clientData/>
  </xdr:twoCellAnchor>
  <xdr:twoCellAnchor editAs="oneCell">
    <xdr:from>
      <xdr:col>5</xdr:col>
      <xdr:colOff>0</xdr:colOff>
      <xdr:row>58</xdr:row>
      <xdr:rowOff>0</xdr:rowOff>
    </xdr:from>
    <xdr:to>
      <xdr:col>10</xdr:col>
      <xdr:colOff>619125</xdr:colOff>
      <xdr:row>70</xdr:row>
      <xdr:rowOff>85725</xdr:rowOff>
    </xdr:to>
    <xdr:pic>
      <xdr:nvPicPr>
        <xdr:cNvPr id="15368" name="Picture 8"/>
        <xdr:cNvPicPr>
          <a:picLocks noChangeAspect="1" noChangeArrowheads="1"/>
        </xdr:cNvPicPr>
      </xdr:nvPicPr>
      <xdr:blipFill>
        <a:blip xmlns:r="http://schemas.openxmlformats.org/officeDocument/2006/relationships" r:embed="rId10" cstate="print"/>
        <a:srcRect/>
        <a:stretch>
          <a:fillRect/>
        </a:stretch>
      </xdr:blipFill>
      <xdr:spPr bwMode="auto">
        <a:xfrm>
          <a:off x="5105400" y="14411325"/>
          <a:ext cx="4667250" cy="3057525"/>
        </a:xfrm>
        <a:prstGeom prst="rect">
          <a:avLst/>
        </a:prstGeom>
        <a:noFill/>
        <a:ln w="1">
          <a:noFill/>
          <a:miter lim="800000"/>
          <a:headEnd/>
          <a:tailEnd type="none" w="med" len="med"/>
        </a:ln>
        <a:effectLst/>
      </xdr:spPr>
    </xdr:pic>
    <xdr:clientData/>
  </xdr:twoCellAnchor>
  <xdr:twoCellAnchor editAs="oneCell">
    <xdr:from>
      <xdr:col>11</xdr:col>
      <xdr:colOff>0</xdr:colOff>
      <xdr:row>58</xdr:row>
      <xdr:rowOff>0</xdr:rowOff>
    </xdr:from>
    <xdr:to>
      <xdr:col>12</xdr:col>
      <xdr:colOff>238125</xdr:colOff>
      <xdr:row>64</xdr:row>
      <xdr:rowOff>123825</xdr:rowOff>
    </xdr:to>
    <xdr:pic>
      <xdr:nvPicPr>
        <xdr:cNvPr id="15369" name="Picture 9"/>
        <xdr:cNvPicPr>
          <a:picLocks noChangeAspect="1" noChangeArrowheads="1"/>
        </xdr:cNvPicPr>
      </xdr:nvPicPr>
      <xdr:blipFill>
        <a:blip xmlns:r="http://schemas.openxmlformats.org/officeDocument/2006/relationships" r:embed="rId11" cstate="print"/>
        <a:srcRect/>
        <a:stretch>
          <a:fillRect/>
        </a:stretch>
      </xdr:blipFill>
      <xdr:spPr bwMode="auto">
        <a:xfrm>
          <a:off x="9829800" y="14411325"/>
          <a:ext cx="819150" cy="1609725"/>
        </a:xfrm>
        <a:prstGeom prst="rect">
          <a:avLst/>
        </a:prstGeom>
        <a:noFill/>
        <a:ln w="1">
          <a:noFill/>
          <a:miter lim="800000"/>
          <a:headEnd/>
          <a:tailEnd type="none" w="med" len="med"/>
        </a:ln>
        <a:effectLst/>
      </xdr:spPr>
    </xdr:pic>
    <xdr:clientData/>
  </xdr:twoCellAnchor>
  <xdr:twoCellAnchor editAs="oneCell">
    <xdr:from>
      <xdr:col>5</xdr:col>
      <xdr:colOff>28575</xdr:colOff>
      <xdr:row>56</xdr:row>
      <xdr:rowOff>76200</xdr:rowOff>
    </xdr:from>
    <xdr:to>
      <xdr:col>8</xdr:col>
      <xdr:colOff>76200</xdr:colOff>
      <xdr:row>57</xdr:row>
      <xdr:rowOff>9525</xdr:rowOff>
    </xdr:to>
    <xdr:pic>
      <xdr:nvPicPr>
        <xdr:cNvPr id="15372" name="Picture 12"/>
        <xdr:cNvPicPr>
          <a:picLocks noChangeAspect="1" noChangeArrowheads="1"/>
        </xdr:cNvPicPr>
      </xdr:nvPicPr>
      <xdr:blipFill>
        <a:blip xmlns:r="http://schemas.openxmlformats.org/officeDocument/2006/relationships" r:embed="rId12" cstate="print"/>
        <a:srcRect/>
        <a:stretch>
          <a:fillRect/>
        </a:stretch>
      </xdr:blipFill>
      <xdr:spPr bwMode="auto">
        <a:xfrm>
          <a:off x="5133975" y="13992225"/>
          <a:ext cx="2476500" cy="180975"/>
        </a:xfrm>
        <a:prstGeom prst="rect">
          <a:avLst/>
        </a:prstGeom>
        <a:noFill/>
        <a:ln w="1">
          <a:noFill/>
          <a:miter lim="800000"/>
          <a:headEnd/>
          <a:tailEnd type="none" w="med" len="med"/>
        </a:ln>
        <a:effectLst/>
      </xdr:spPr>
    </xdr:pic>
    <xdr:clientData/>
  </xdr:twoCellAnchor>
  <xdr:twoCellAnchor editAs="oneCell">
    <xdr:from>
      <xdr:col>5</xdr:col>
      <xdr:colOff>28575</xdr:colOff>
      <xdr:row>70</xdr:row>
      <xdr:rowOff>57150</xdr:rowOff>
    </xdr:from>
    <xdr:to>
      <xdr:col>10</xdr:col>
      <xdr:colOff>152400</xdr:colOff>
      <xdr:row>71</xdr:row>
      <xdr:rowOff>19050</xdr:rowOff>
    </xdr:to>
    <xdr:pic>
      <xdr:nvPicPr>
        <xdr:cNvPr id="15373" name="Picture 13"/>
        <xdr:cNvPicPr>
          <a:picLocks noChangeAspect="1" noChangeArrowheads="1"/>
        </xdr:cNvPicPr>
      </xdr:nvPicPr>
      <xdr:blipFill>
        <a:blip xmlns:r="http://schemas.openxmlformats.org/officeDocument/2006/relationships" r:embed="rId13" cstate="print"/>
        <a:srcRect/>
        <a:stretch>
          <a:fillRect/>
        </a:stretch>
      </xdr:blipFill>
      <xdr:spPr bwMode="auto">
        <a:xfrm>
          <a:off x="5133975" y="17440275"/>
          <a:ext cx="4171950" cy="209550"/>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6" name="五边形 15">
          <a:hlinkClick xmlns:r="http://schemas.openxmlformats.org/officeDocument/2006/relationships" r:id="rId14"/>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9526</xdr:colOff>
      <xdr:row>1</xdr:row>
      <xdr:rowOff>9525</xdr:rowOff>
    </xdr:from>
    <xdr:to>
      <xdr:col>8</xdr:col>
      <xdr:colOff>285751</xdr:colOff>
      <xdr:row>6</xdr:row>
      <xdr:rowOff>18996</xdr:rowOff>
    </xdr:to>
    <xdr:pic>
      <xdr:nvPicPr>
        <xdr:cNvPr id="1228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5324476" y="304800"/>
          <a:ext cx="2705100" cy="1247721"/>
        </a:xfrm>
        <a:prstGeom prst="rect">
          <a:avLst/>
        </a:prstGeom>
        <a:noFill/>
        <a:ln w="1">
          <a:noFill/>
          <a:miter lim="800000"/>
          <a:headEnd/>
          <a:tailEnd type="none" w="med" len="med"/>
        </a:ln>
        <a:effectLst/>
      </xdr:spPr>
    </xdr:pic>
    <xdr:clientData/>
  </xdr:twoCellAnchor>
  <xdr:twoCellAnchor editAs="oneCell">
    <xdr:from>
      <xdr:col>5</xdr:col>
      <xdr:colOff>9525</xdr:colOff>
      <xdr:row>8</xdr:row>
      <xdr:rowOff>9525</xdr:rowOff>
    </xdr:from>
    <xdr:to>
      <xdr:col>11</xdr:col>
      <xdr:colOff>371475</xdr:colOff>
      <xdr:row>18</xdr:row>
      <xdr:rowOff>28575</xdr:rowOff>
    </xdr:to>
    <xdr:pic>
      <xdr:nvPicPr>
        <xdr:cNvPr id="12291"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324475" y="2038350"/>
          <a:ext cx="5086350" cy="2495550"/>
        </a:xfrm>
        <a:prstGeom prst="rect">
          <a:avLst/>
        </a:prstGeom>
        <a:noFill/>
        <a:ln w="1">
          <a:noFill/>
          <a:miter lim="800000"/>
          <a:headEnd/>
          <a:tailEnd type="none" w="med" len="med"/>
        </a:ln>
        <a:effectLst/>
      </xdr:spPr>
    </xdr:pic>
    <xdr:clientData/>
  </xdr:twoCellAnchor>
  <xdr:twoCellAnchor>
    <xdr:from>
      <xdr:col>6</xdr:col>
      <xdr:colOff>695325</xdr:colOff>
      <xdr:row>11</xdr:row>
      <xdr:rowOff>152400</xdr:rowOff>
    </xdr:from>
    <xdr:to>
      <xdr:col>8</xdr:col>
      <xdr:colOff>419100</xdr:colOff>
      <xdr:row>11</xdr:row>
      <xdr:rowOff>152400</xdr:rowOff>
    </xdr:to>
    <xdr:cxnSp macro="">
      <xdr:nvCxnSpPr>
        <xdr:cNvPr id="26" name="直接连接符 25"/>
        <xdr:cNvCxnSpPr/>
      </xdr:nvCxnSpPr>
      <xdr:spPr>
        <a:xfrm>
          <a:off x="6610350" y="2924175"/>
          <a:ext cx="1343025" cy="0"/>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oneCellAnchor>
    <xdr:from>
      <xdr:col>8</xdr:col>
      <xdr:colOff>19050</xdr:colOff>
      <xdr:row>18</xdr:row>
      <xdr:rowOff>66675</xdr:rowOff>
    </xdr:from>
    <xdr:ext cx="762000" cy="342900"/>
    <xdr:sp macro="" textlink="">
      <xdr:nvSpPr>
        <xdr:cNvPr id="30" name="TextBox 29"/>
        <xdr:cNvSpPr txBox="1"/>
      </xdr:nvSpPr>
      <xdr:spPr>
        <a:xfrm>
          <a:off x="7553325" y="4572000"/>
          <a:ext cx="762000" cy="342900"/>
        </a:xfrm>
        <a:prstGeom prst="rect">
          <a:avLst/>
        </a:prstGeom>
        <a:ln w="19050"/>
      </xdr:spPr>
      <xdr:style>
        <a:lnRef idx="2">
          <a:schemeClr val="accent2"/>
        </a:lnRef>
        <a:fillRef idx="1">
          <a:schemeClr val="lt1"/>
        </a:fillRef>
        <a:effectRef idx="0">
          <a:schemeClr val="accent2"/>
        </a:effectRef>
        <a:fontRef idx="minor">
          <a:schemeClr val="dk1"/>
        </a:fontRef>
      </xdr:style>
      <xdr:txBody>
        <a:bodyPr vertOverflow="clip" wrap="square" rtlCol="0" anchor="t">
          <a:noAutofit/>
        </a:bodyPr>
        <a:lstStyle/>
        <a:p>
          <a:r>
            <a:rPr lang="en-US" altLang="zh-CN" sz="1400">
              <a:solidFill>
                <a:srgbClr val="C00000"/>
              </a:solidFill>
            </a:rPr>
            <a:t>T=x.xT</a:t>
          </a:r>
          <a:r>
            <a:rPr lang="en-US" altLang="zh-CN" sz="1100">
              <a:solidFill>
                <a:srgbClr val="C00000"/>
              </a:solidFill>
            </a:rPr>
            <a:t>1</a:t>
          </a:r>
          <a:endParaRPr lang="zh-CN" altLang="en-US" sz="1100">
            <a:solidFill>
              <a:srgbClr val="C00000"/>
            </a:solidFill>
          </a:endParaRPr>
        </a:p>
      </xdr:txBody>
    </xdr:sp>
    <xdr:clientData/>
  </xdr:oneCellAnchor>
  <xdr:twoCellAnchor>
    <xdr:from>
      <xdr:col>2</xdr:col>
      <xdr:colOff>619125</xdr:colOff>
      <xdr:row>15</xdr:row>
      <xdr:rowOff>171450</xdr:rowOff>
    </xdr:from>
    <xdr:to>
      <xdr:col>7</xdr:col>
      <xdr:colOff>790575</xdr:colOff>
      <xdr:row>18</xdr:row>
      <xdr:rowOff>171450</xdr:rowOff>
    </xdr:to>
    <xdr:cxnSp macro="">
      <xdr:nvCxnSpPr>
        <xdr:cNvPr id="33" name="直接箭头连接符 32"/>
        <xdr:cNvCxnSpPr/>
      </xdr:nvCxnSpPr>
      <xdr:spPr>
        <a:xfrm>
          <a:off x="3162300" y="3933825"/>
          <a:ext cx="4352925" cy="742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57149</xdr:colOff>
      <xdr:row>11</xdr:row>
      <xdr:rowOff>0</xdr:rowOff>
    </xdr:from>
    <xdr:ext cx="714375" cy="342900"/>
    <xdr:sp macro="" textlink="">
      <xdr:nvSpPr>
        <xdr:cNvPr id="36" name="TextBox 35"/>
        <xdr:cNvSpPr txBox="1"/>
      </xdr:nvSpPr>
      <xdr:spPr>
        <a:xfrm>
          <a:off x="5972174" y="2771775"/>
          <a:ext cx="714375"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altLang="zh-CN" sz="1400">
              <a:solidFill>
                <a:srgbClr val="C00000"/>
              </a:solidFill>
            </a:rPr>
            <a:t>xx%</a:t>
          </a:r>
          <a:endParaRPr lang="zh-CN" altLang="en-US" sz="1100">
            <a:solidFill>
              <a:srgbClr val="C00000"/>
            </a:solidFill>
          </a:endParaRPr>
        </a:p>
      </xdr:txBody>
    </xdr:sp>
    <xdr:clientData/>
  </xdr:oneCellAnchor>
  <xdr:twoCellAnchor>
    <xdr:from>
      <xdr:col>6</xdr:col>
      <xdr:colOff>704850</xdr:colOff>
      <xdr:row>11</xdr:row>
      <xdr:rowOff>152400</xdr:rowOff>
    </xdr:from>
    <xdr:to>
      <xdr:col>8</xdr:col>
      <xdr:colOff>419100</xdr:colOff>
      <xdr:row>11</xdr:row>
      <xdr:rowOff>152400</xdr:rowOff>
    </xdr:to>
    <xdr:cxnSp macro="">
      <xdr:nvCxnSpPr>
        <xdr:cNvPr id="43" name="直接箭头连接符 42"/>
        <xdr:cNvCxnSpPr/>
      </xdr:nvCxnSpPr>
      <xdr:spPr>
        <a:xfrm>
          <a:off x="6619875" y="2924175"/>
          <a:ext cx="1333500" cy="0"/>
        </a:xfrm>
        <a:prstGeom prst="straightConnector1">
          <a:avLst/>
        </a:prstGeom>
        <a:ln w="19050">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400050</xdr:colOff>
      <xdr:row>11</xdr:row>
      <xdr:rowOff>161925</xdr:rowOff>
    </xdr:from>
    <xdr:to>
      <xdr:col>8</xdr:col>
      <xdr:colOff>400050</xdr:colOff>
      <xdr:row>18</xdr:row>
      <xdr:rowOff>57150</xdr:rowOff>
    </xdr:to>
    <xdr:cxnSp macro="">
      <xdr:nvCxnSpPr>
        <xdr:cNvPr id="48" name="直接箭头连接符 47"/>
        <xdr:cNvCxnSpPr/>
      </xdr:nvCxnSpPr>
      <xdr:spPr>
        <a:xfrm>
          <a:off x="7934325" y="2933700"/>
          <a:ext cx="0" cy="1628775"/>
        </a:xfrm>
        <a:prstGeom prst="straightConnector1">
          <a:avLst/>
        </a:prstGeom>
        <a:ln w="19050">
          <a:tailEnd type="arrow"/>
        </a:ln>
      </xdr:spPr>
      <xdr:style>
        <a:lnRef idx="2">
          <a:schemeClr val="accent2"/>
        </a:lnRef>
        <a:fillRef idx="1">
          <a:schemeClr val="lt1"/>
        </a:fillRef>
        <a:effectRef idx="0">
          <a:schemeClr val="accent2"/>
        </a:effectRef>
        <a:fontRef idx="minor">
          <a:schemeClr val="dk1"/>
        </a:fontRef>
      </xdr:style>
    </xdr:cxnSp>
    <xdr:clientData/>
  </xdr:twoCellAnchor>
  <xdr:twoCellAnchor editAs="oneCell">
    <xdr:from>
      <xdr:col>5</xdr:col>
      <xdr:colOff>9525</xdr:colOff>
      <xdr:row>20</xdr:row>
      <xdr:rowOff>9525</xdr:rowOff>
    </xdr:from>
    <xdr:to>
      <xdr:col>16</xdr:col>
      <xdr:colOff>285750</xdr:colOff>
      <xdr:row>32</xdr:row>
      <xdr:rowOff>84137</xdr:rowOff>
    </xdr:to>
    <xdr:pic>
      <xdr:nvPicPr>
        <xdr:cNvPr id="52" name="内容占位符 3"/>
        <xdr:cNvPicPr>
          <a:picLocks noGrp="1" noChangeAspect="1" noChangeArrowheads="1"/>
        </xdr:cNvPicPr>
      </xdr:nvPicPr>
      <xdr:blipFill>
        <a:blip xmlns:r="http://schemas.openxmlformats.org/officeDocument/2006/relationships" r:embed="rId3" cstate="print"/>
        <a:srcRect/>
        <a:stretch>
          <a:fillRect/>
        </a:stretch>
      </xdr:blipFill>
      <xdr:spPr bwMode="auto">
        <a:xfrm>
          <a:off x="5114925" y="5505450"/>
          <a:ext cx="8229600" cy="3046412"/>
        </a:xfrm>
        <a:prstGeom prst="rect">
          <a:avLst/>
        </a:prstGeom>
        <a:noFill/>
        <a:ln w="9525">
          <a:noFill/>
          <a:miter lim="800000"/>
          <a:headEnd/>
          <a:tailEnd/>
        </a:ln>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1" name="五边形 10">
          <a:hlinkClick xmlns:r="http://schemas.openxmlformats.org/officeDocument/2006/relationships" r:id="rId4"/>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5</xdr:col>
      <xdr:colOff>94439</xdr:colOff>
      <xdr:row>4</xdr:row>
      <xdr:rowOff>130184</xdr:rowOff>
    </xdr:from>
    <xdr:to>
      <xdr:col>5</xdr:col>
      <xdr:colOff>501900</xdr:colOff>
      <xdr:row>4</xdr:row>
      <xdr:rowOff>206428</xdr:rowOff>
    </xdr:to>
    <xdr:sp macro="" textlink="">
      <xdr:nvSpPr>
        <xdr:cNvPr id="47" name="矩形 46"/>
        <xdr:cNvSpPr/>
      </xdr:nvSpPr>
      <xdr:spPr>
        <a:xfrm rot="-900000">
          <a:off x="6314264" y="1120784"/>
          <a:ext cx="407461" cy="76244"/>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zh-CN" altLang="en-US" sz="1100"/>
        </a:p>
      </xdr:txBody>
    </xdr:sp>
    <xdr:clientData/>
  </xdr:twoCellAnchor>
  <xdr:twoCellAnchor>
    <xdr:from>
      <xdr:col>6</xdr:col>
      <xdr:colOff>638175</xdr:colOff>
      <xdr:row>1</xdr:row>
      <xdr:rowOff>133350</xdr:rowOff>
    </xdr:from>
    <xdr:to>
      <xdr:col>8</xdr:col>
      <xdr:colOff>190500</xdr:colOff>
      <xdr:row>3</xdr:row>
      <xdr:rowOff>133350</xdr:rowOff>
    </xdr:to>
    <xdr:sp macro="" textlink="">
      <xdr:nvSpPr>
        <xdr:cNvPr id="2" name="圆角矩形 1"/>
        <xdr:cNvSpPr/>
      </xdr:nvSpPr>
      <xdr:spPr>
        <a:xfrm rot="-900000">
          <a:off x="7667625" y="381000"/>
          <a:ext cx="1171575" cy="495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zh-CN" altLang="en-US" sz="1100" b="0"/>
        </a:p>
      </xdr:txBody>
    </xdr:sp>
    <xdr:clientData/>
  </xdr:twoCellAnchor>
  <xdr:twoCellAnchor>
    <xdr:from>
      <xdr:col>6</xdr:col>
      <xdr:colOff>371476</xdr:colOff>
      <xdr:row>2</xdr:row>
      <xdr:rowOff>200025</xdr:rowOff>
    </xdr:from>
    <xdr:to>
      <xdr:col>7</xdr:col>
      <xdr:colOff>381001</xdr:colOff>
      <xdr:row>3</xdr:row>
      <xdr:rowOff>85725</xdr:rowOff>
    </xdr:to>
    <xdr:sp macro="" textlink="">
      <xdr:nvSpPr>
        <xdr:cNvPr id="3" name="矩形 2"/>
        <xdr:cNvSpPr/>
      </xdr:nvSpPr>
      <xdr:spPr>
        <a:xfrm rot="-900000">
          <a:off x="7400926" y="695325"/>
          <a:ext cx="819150" cy="1333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lang="zh-CN" altLang="en-US" sz="1100"/>
        </a:p>
      </xdr:txBody>
    </xdr:sp>
    <xdr:clientData/>
  </xdr:twoCellAnchor>
  <xdr:twoCellAnchor>
    <xdr:from>
      <xdr:col>5</xdr:col>
      <xdr:colOff>714375</xdr:colOff>
      <xdr:row>2</xdr:row>
      <xdr:rowOff>133350</xdr:rowOff>
    </xdr:from>
    <xdr:to>
      <xdr:col>6</xdr:col>
      <xdr:colOff>390525</xdr:colOff>
      <xdr:row>4</xdr:row>
      <xdr:rowOff>200025</xdr:rowOff>
    </xdr:to>
    <xdr:sp macro="" textlink="">
      <xdr:nvSpPr>
        <xdr:cNvPr id="4" name="矩形 3"/>
        <xdr:cNvSpPr/>
      </xdr:nvSpPr>
      <xdr:spPr>
        <a:xfrm rot="-900000">
          <a:off x="6934200" y="628650"/>
          <a:ext cx="485775" cy="56197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zh-CN" altLang="en-US" sz="1100"/>
        </a:p>
      </xdr:txBody>
    </xdr:sp>
    <xdr:clientData/>
  </xdr:twoCellAnchor>
  <xdr:oneCellAnchor>
    <xdr:from>
      <xdr:col>7</xdr:col>
      <xdr:colOff>247650</xdr:colOff>
      <xdr:row>1</xdr:row>
      <xdr:rowOff>95248</xdr:rowOff>
    </xdr:from>
    <xdr:ext cx="857250" cy="390527"/>
    <xdr:sp macro="" textlink="">
      <xdr:nvSpPr>
        <xdr:cNvPr id="5" name="矩形 4"/>
        <xdr:cNvSpPr/>
      </xdr:nvSpPr>
      <xdr:spPr>
        <a:xfrm rot="-900000">
          <a:off x="8086725" y="342898"/>
          <a:ext cx="857250" cy="390527"/>
        </a:xfrm>
        <a:prstGeom prst="rect">
          <a:avLst/>
        </a:prstGeom>
        <a:noFill/>
      </xdr:spPr>
      <xdr:txBody>
        <a:bodyPr wrap="square" lIns="91440" tIns="45720" rIns="91440" bIns="45720">
          <a:no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zh-CN" altLang="en-US" sz="18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rPr>
            <a:t>气缸</a:t>
          </a:r>
        </a:p>
      </xdr:txBody>
    </xdr:sp>
    <xdr:clientData/>
  </xdr:oneCellAnchor>
  <xdr:oneCellAnchor>
    <xdr:from>
      <xdr:col>5</xdr:col>
      <xdr:colOff>419100</xdr:colOff>
      <xdr:row>2</xdr:row>
      <xdr:rowOff>209550</xdr:rowOff>
    </xdr:from>
    <xdr:ext cx="1085850" cy="685801"/>
    <xdr:sp macro="" textlink="">
      <xdr:nvSpPr>
        <xdr:cNvPr id="6" name="矩形 5"/>
        <xdr:cNvSpPr/>
      </xdr:nvSpPr>
      <xdr:spPr>
        <a:xfrm rot="-900000">
          <a:off x="6638925" y="704850"/>
          <a:ext cx="1085850" cy="685801"/>
        </a:xfrm>
        <a:prstGeom prst="rect">
          <a:avLst/>
        </a:prstGeom>
        <a:noFill/>
      </xdr:spPr>
      <xdr:txBody>
        <a:bodyPr wrap="square" lIns="91440" tIns="45720" rIns="91440" bIns="45720">
          <a:no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zh-CN" altLang="en-US" sz="18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rPr>
            <a:t>负载</a:t>
          </a:r>
          <a:endParaRPr lang="en-US" altLang="zh-CN" sz="18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endParaRPr>
        </a:p>
        <a:p>
          <a:pPr algn="ctr"/>
          <a:endParaRPr lang="en-US" altLang="zh-CN" sz="18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endParaRPr>
        </a:p>
      </xdr:txBody>
    </xdr:sp>
    <xdr:clientData/>
  </xdr:oneCellAnchor>
  <xdr:twoCellAnchor>
    <xdr:from>
      <xdr:col>7</xdr:col>
      <xdr:colOff>285750</xdr:colOff>
      <xdr:row>1</xdr:row>
      <xdr:rowOff>152400</xdr:rowOff>
    </xdr:from>
    <xdr:to>
      <xdr:col>7</xdr:col>
      <xdr:colOff>428625</xdr:colOff>
      <xdr:row>3</xdr:row>
      <xdr:rowOff>152400</xdr:rowOff>
    </xdr:to>
    <xdr:sp macro="" textlink="">
      <xdr:nvSpPr>
        <xdr:cNvPr id="7" name="矩形 6"/>
        <xdr:cNvSpPr/>
      </xdr:nvSpPr>
      <xdr:spPr>
        <a:xfrm rot="-900000">
          <a:off x="8124825" y="400050"/>
          <a:ext cx="142875" cy="4953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lang="zh-CN" altLang="en-US" sz="1100"/>
        </a:p>
      </xdr:txBody>
    </xdr:sp>
    <xdr:clientData/>
  </xdr:twoCellAnchor>
  <xdr:twoCellAnchor>
    <xdr:from>
      <xdr:col>5</xdr:col>
      <xdr:colOff>261178</xdr:colOff>
      <xdr:row>5</xdr:row>
      <xdr:rowOff>1820</xdr:rowOff>
    </xdr:from>
    <xdr:to>
      <xdr:col>6</xdr:col>
      <xdr:colOff>729873</xdr:colOff>
      <xdr:row>5</xdr:row>
      <xdr:rowOff>100493</xdr:rowOff>
    </xdr:to>
    <xdr:sp macro="" textlink="">
      <xdr:nvSpPr>
        <xdr:cNvPr id="8" name="矩形 7"/>
        <xdr:cNvSpPr/>
      </xdr:nvSpPr>
      <xdr:spPr>
        <a:xfrm rot="-900000">
          <a:off x="6481003" y="1240070"/>
          <a:ext cx="1278320" cy="9867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pPr algn="ctr"/>
          <a:endParaRPr lang="zh-CN" altLang="en-US" sz="1100"/>
        </a:p>
      </xdr:txBody>
    </xdr:sp>
    <xdr:clientData/>
  </xdr:twoCellAnchor>
  <xdr:oneCellAnchor>
    <xdr:from>
      <xdr:col>5</xdr:col>
      <xdr:colOff>485775</xdr:colOff>
      <xdr:row>4</xdr:row>
      <xdr:rowOff>133350</xdr:rowOff>
    </xdr:from>
    <xdr:ext cx="1085850" cy="276225"/>
    <xdr:sp macro="" textlink="">
      <xdr:nvSpPr>
        <xdr:cNvPr id="9" name="矩形 8"/>
        <xdr:cNvSpPr/>
      </xdr:nvSpPr>
      <xdr:spPr>
        <a:xfrm rot="-900000">
          <a:off x="6705600" y="1123950"/>
          <a:ext cx="1085850" cy="276225"/>
        </a:xfrm>
        <a:prstGeom prst="rect">
          <a:avLst/>
        </a:prstGeom>
        <a:noFill/>
      </xdr:spPr>
      <xdr:txBody>
        <a:bodyPr wrap="square" lIns="91440" tIns="45720" rIns="91440" bIns="45720">
          <a:no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zh-CN" altLang="en-US" sz="12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rPr>
            <a:t>导      轨</a:t>
          </a:r>
          <a:endParaRPr lang="en-US" altLang="zh-CN" sz="1200" b="1" cap="none" spc="50">
            <a:ln w="11430"/>
            <a:gradFill>
              <a:gsLst>
                <a:gs pos="25000">
                  <a:schemeClr val="accent2">
                    <a:satMod val="155000"/>
                  </a:schemeClr>
                </a:gs>
                <a:gs pos="100000">
                  <a:schemeClr val="accent2">
                    <a:shade val="45000"/>
                    <a:satMod val="165000"/>
                  </a:schemeClr>
                </a:gs>
              </a:gsLst>
              <a:lin ang="5400000"/>
            </a:gradFill>
            <a:effectLst>
              <a:outerShdw blurRad="76200" dist="50800" dir="5400000" algn="tl" rotWithShape="0">
                <a:srgbClr val="000000">
                  <a:alpha val="65000"/>
                </a:srgbClr>
              </a:outerShdw>
            </a:effectLst>
          </a:endParaRPr>
        </a:p>
      </xdr:txBody>
    </xdr:sp>
    <xdr:clientData/>
  </xdr:oneCellAnchor>
  <xdr:twoCellAnchor editAs="oneCell">
    <xdr:from>
      <xdr:col>20</xdr:col>
      <xdr:colOff>523875</xdr:colOff>
      <xdr:row>31</xdr:row>
      <xdr:rowOff>228600</xdr:rowOff>
    </xdr:from>
    <xdr:to>
      <xdr:col>23</xdr:col>
      <xdr:colOff>342900</xdr:colOff>
      <xdr:row>36</xdr:row>
      <xdr:rowOff>161925</xdr:rowOff>
    </xdr:to>
    <xdr:pic>
      <xdr:nvPicPr>
        <xdr:cNvPr id="18" name="Picture 20"/>
        <xdr:cNvPicPr>
          <a:picLocks noChangeAspect="1" noChangeArrowheads="1"/>
        </xdr:cNvPicPr>
      </xdr:nvPicPr>
      <xdr:blipFill>
        <a:blip xmlns:r="http://schemas.openxmlformats.org/officeDocument/2006/relationships" r:embed="rId1" cstate="print"/>
        <a:srcRect/>
        <a:stretch>
          <a:fillRect/>
        </a:stretch>
      </xdr:blipFill>
      <xdr:spPr bwMode="auto">
        <a:xfrm>
          <a:off x="18583275" y="10629900"/>
          <a:ext cx="1790700" cy="1171575"/>
        </a:xfrm>
        <a:prstGeom prst="rect">
          <a:avLst/>
        </a:prstGeom>
        <a:noFill/>
        <a:ln w="1">
          <a:noFill/>
          <a:miter lim="800000"/>
          <a:headEnd/>
          <a:tailEnd type="none" w="med" len="med"/>
        </a:ln>
        <a:effectLst/>
      </xdr:spPr>
    </xdr:pic>
    <xdr:clientData/>
  </xdr:twoCellAnchor>
  <xdr:twoCellAnchor>
    <xdr:from>
      <xdr:col>4</xdr:col>
      <xdr:colOff>504826</xdr:colOff>
      <xdr:row>6</xdr:row>
      <xdr:rowOff>47625</xdr:rowOff>
    </xdr:from>
    <xdr:to>
      <xdr:col>8</xdr:col>
      <xdr:colOff>228600</xdr:colOff>
      <xdr:row>6</xdr:row>
      <xdr:rowOff>93344</xdr:rowOff>
    </xdr:to>
    <xdr:sp macro="" textlink="">
      <xdr:nvSpPr>
        <xdr:cNvPr id="24" name="矩形 23"/>
        <xdr:cNvSpPr/>
      </xdr:nvSpPr>
      <xdr:spPr>
        <a:xfrm>
          <a:off x="6124576" y="1533525"/>
          <a:ext cx="2752724"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zh-CN" altLang="en-US" sz="1100"/>
        </a:p>
      </xdr:txBody>
    </xdr:sp>
    <xdr:clientData/>
  </xdr:twoCellAnchor>
  <xdr:oneCellAnchor>
    <xdr:from>
      <xdr:col>6</xdr:col>
      <xdr:colOff>700097</xdr:colOff>
      <xdr:row>4</xdr:row>
      <xdr:rowOff>82867</xdr:rowOff>
    </xdr:from>
    <xdr:ext cx="352404" cy="468013"/>
    <xdr:sp macro="" textlink="">
      <xdr:nvSpPr>
        <xdr:cNvPr id="25" name="矩形 24"/>
        <xdr:cNvSpPr/>
      </xdr:nvSpPr>
      <xdr:spPr>
        <a:xfrm>
          <a:off x="7729547" y="1073467"/>
          <a:ext cx="352404" cy="468013"/>
        </a:xfrm>
        <a:prstGeom prst="rect">
          <a:avLst/>
        </a:prstGeom>
        <a:noFill/>
      </xdr:spPr>
      <xdr:txBody>
        <a:bodyPr wrap="none" lIns="91440" tIns="45720" rIns="91440" bIns="45720">
          <a:spAutoFit/>
        </a:bodyPr>
        <a:lstStyle/>
        <a:p>
          <a:pPr algn="ctr"/>
          <a:r>
            <a:rPr lang="el-GR" altLang="zh-CN" sz="24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θ</a:t>
          </a:r>
          <a:endParaRPr lang="zh-CN" altLang="en-US" sz="24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endParaRPr>
        </a:p>
      </xdr:txBody>
    </xdr:sp>
    <xdr:clientData/>
  </xdr:oneCellAnchor>
  <xdr:twoCellAnchor>
    <xdr:from>
      <xdr:col>6</xdr:col>
      <xdr:colOff>587397</xdr:colOff>
      <xdr:row>4</xdr:row>
      <xdr:rowOff>161085</xdr:rowOff>
    </xdr:from>
    <xdr:to>
      <xdr:col>6</xdr:col>
      <xdr:colOff>741824</xdr:colOff>
      <xdr:row>6</xdr:row>
      <xdr:rowOff>111432</xdr:rowOff>
    </xdr:to>
    <xdr:sp macro="" textlink="">
      <xdr:nvSpPr>
        <xdr:cNvPr id="26" name="环形箭头 25"/>
        <xdr:cNvSpPr/>
      </xdr:nvSpPr>
      <xdr:spPr>
        <a:xfrm rot="4500000">
          <a:off x="7471237" y="1297295"/>
          <a:ext cx="445647" cy="154427"/>
        </a:xfrm>
        <a:prstGeom prst="circular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zh-CN" altLang="en-US" sz="1100">
            <a:solidFill>
              <a:schemeClr val="tx1"/>
            </a:solidFill>
          </a:endParaRPr>
        </a:p>
      </xdr:txBody>
    </xdr:sp>
    <xdr:clientData/>
  </xdr:twoCellAnchor>
  <xdr:twoCellAnchor>
    <xdr:from>
      <xdr:col>11</xdr:col>
      <xdr:colOff>609600</xdr:colOff>
      <xdr:row>5</xdr:row>
      <xdr:rowOff>19050</xdr:rowOff>
    </xdr:from>
    <xdr:to>
      <xdr:col>12</xdr:col>
      <xdr:colOff>47625</xdr:colOff>
      <xdr:row>5</xdr:row>
      <xdr:rowOff>219075</xdr:rowOff>
    </xdr:to>
    <xdr:sp macro="" textlink="">
      <xdr:nvSpPr>
        <xdr:cNvPr id="30" name="矩形 29"/>
        <xdr:cNvSpPr/>
      </xdr:nvSpPr>
      <xdr:spPr>
        <a:xfrm>
          <a:off x="11687175" y="125730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xdr:from>
      <xdr:col>12</xdr:col>
      <xdr:colOff>409575</xdr:colOff>
      <xdr:row>5</xdr:row>
      <xdr:rowOff>76200</xdr:rowOff>
    </xdr:from>
    <xdr:to>
      <xdr:col>12</xdr:col>
      <xdr:colOff>657225</xdr:colOff>
      <xdr:row>6</xdr:row>
      <xdr:rowOff>28575</xdr:rowOff>
    </xdr:to>
    <xdr:sp macro="" textlink="">
      <xdr:nvSpPr>
        <xdr:cNvPr id="31" name="矩形 30"/>
        <xdr:cNvSpPr/>
      </xdr:nvSpPr>
      <xdr:spPr>
        <a:xfrm>
          <a:off x="12296775" y="131445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xdr:from>
      <xdr:col>4</xdr:col>
      <xdr:colOff>508914</xdr:colOff>
      <xdr:row>4</xdr:row>
      <xdr:rowOff>147386</xdr:rowOff>
    </xdr:from>
    <xdr:to>
      <xdr:col>5</xdr:col>
      <xdr:colOff>397786</xdr:colOff>
      <xdr:row>5</xdr:row>
      <xdr:rowOff>24578</xdr:rowOff>
    </xdr:to>
    <xdr:sp macro="" textlink="">
      <xdr:nvSpPr>
        <xdr:cNvPr id="34" name="矩形 33"/>
        <xdr:cNvSpPr/>
      </xdr:nvSpPr>
      <xdr:spPr>
        <a:xfrm rot="-900000">
          <a:off x="6128664" y="1137986"/>
          <a:ext cx="488947" cy="124842"/>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zh-CN" altLang="en-US" sz="1100"/>
        </a:p>
      </xdr:txBody>
    </xdr:sp>
    <xdr:clientData/>
  </xdr:twoCellAnchor>
  <xdr:twoCellAnchor editAs="oneCell">
    <xdr:from>
      <xdr:col>5</xdr:col>
      <xdr:colOff>9525</xdr:colOff>
      <xdr:row>9</xdr:row>
      <xdr:rowOff>19050</xdr:rowOff>
    </xdr:from>
    <xdr:to>
      <xdr:col>12</xdr:col>
      <xdr:colOff>552450</xdr:colOff>
      <xdr:row>31</xdr:row>
      <xdr:rowOff>116285</xdr:rowOff>
    </xdr:to>
    <xdr:pic>
      <xdr:nvPicPr>
        <xdr:cNvPr id="38" name="Picture 7"/>
        <xdr:cNvPicPr>
          <a:picLocks noChangeAspect="1" noChangeArrowheads="1"/>
        </xdr:cNvPicPr>
      </xdr:nvPicPr>
      <xdr:blipFill>
        <a:blip xmlns:r="http://schemas.openxmlformats.org/officeDocument/2006/relationships" r:embed="rId2" cstate="print"/>
        <a:srcRect/>
        <a:stretch>
          <a:fillRect/>
        </a:stretch>
      </xdr:blipFill>
      <xdr:spPr bwMode="auto">
        <a:xfrm>
          <a:off x="6229350" y="2247900"/>
          <a:ext cx="6210300" cy="5545535"/>
        </a:xfrm>
        <a:prstGeom prst="rect">
          <a:avLst/>
        </a:prstGeom>
        <a:noFill/>
        <a:ln w="1">
          <a:noFill/>
          <a:miter lim="800000"/>
          <a:headEnd/>
          <a:tailEnd/>
        </a:ln>
      </xdr:spPr>
    </xdr:pic>
    <xdr:clientData/>
  </xdr:twoCellAnchor>
  <xdr:twoCellAnchor editAs="oneCell">
    <xdr:from>
      <xdr:col>9</xdr:col>
      <xdr:colOff>9526</xdr:colOff>
      <xdr:row>2</xdr:row>
      <xdr:rowOff>9525</xdr:rowOff>
    </xdr:from>
    <xdr:to>
      <xdr:col>10</xdr:col>
      <xdr:colOff>802959</xdr:colOff>
      <xdr:row>7</xdr:row>
      <xdr:rowOff>142875</xdr:rowOff>
    </xdr:to>
    <xdr:pic>
      <xdr:nvPicPr>
        <xdr:cNvPr id="25603"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9467851" y="504825"/>
          <a:ext cx="1603058" cy="1371600"/>
        </a:xfrm>
        <a:prstGeom prst="rect">
          <a:avLst/>
        </a:prstGeom>
        <a:noFill/>
        <a:ln w="1">
          <a:noFill/>
          <a:miter lim="800000"/>
          <a:headEnd/>
          <a:tailEnd type="none" w="med" len="med"/>
        </a:ln>
        <a:effectLst/>
      </xdr:spPr>
    </xdr:pic>
    <xdr:clientData/>
  </xdr:twoCellAnchor>
  <xdr:twoCellAnchor editAs="oneCell">
    <xdr:from>
      <xdr:col>10</xdr:col>
      <xdr:colOff>790575</xdr:colOff>
      <xdr:row>2</xdr:row>
      <xdr:rowOff>9526</xdr:rowOff>
    </xdr:from>
    <xdr:to>
      <xdr:col>12</xdr:col>
      <xdr:colOff>762000</xdr:colOff>
      <xdr:row>7</xdr:row>
      <xdr:rowOff>154832</xdr:rowOff>
    </xdr:to>
    <xdr:pic>
      <xdr:nvPicPr>
        <xdr:cNvPr id="25604" name="Picture 4"/>
        <xdr:cNvPicPr>
          <a:picLocks noChangeAspect="1" noChangeArrowheads="1"/>
        </xdr:cNvPicPr>
      </xdr:nvPicPr>
      <xdr:blipFill>
        <a:blip xmlns:r="http://schemas.openxmlformats.org/officeDocument/2006/relationships" r:embed="rId4" cstate="print"/>
        <a:srcRect/>
        <a:stretch>
          <a:fillRect/>
        </a:stretch>
      </xdr:blipFill>
      <xdr:spPr bwMode="auto">
        <a:xfrm>
          <a:off x="11058525" y="504826"/>
          <a:ext cx="1590675" cy="1383556"/>
        </a:xfrm>
        <a:prstGeom prst="rect">
          <a:avLst/>
        </a:prstGeom>
        <a:noFill/>
        <a:ln w="1">
          <a:noFill/>
          <a:miter lim="800000"/>
          <a:headEnd/>
          <a:tailEnd type="none" w="med" len="med"/>
        </a:ln>
        <a:effectLst/>
      </xdr:spPr>
    </xdr:pic>
    <xdr:clientData/>
  </xdr:twoCellAnchor>
  <xdr:twoCellAnchor>
    <xdr:from>
      <xdr:col>12</xdr:col>
      <xdr:colOff>504825</xdr:colOff>
      <xdr:row>3</xdr:row>
      <xdr:rowOff>228600</xdr:rowOff>
    </xdr:from>
    <xdr:to>
      <xdr:col>12</xdr:col>
      <xdr:colOff>590550</xdr:colOff>
      <xdr:row>4</xdr:row>
      <xdr:rowOff>104775</xdr:rowOff>
    </xdr:to>
    <xdr:sp macro="" textlink="">
      <xdr:nvSpPr>
        <xdr:cNvPr id="41" name="矩形 40"/>
        <xdr:cNvSpPr/>
      </xdr:nvSpPr>
      <xdr:spPr>
        <a:xfrm>
          <a:off x="12392025" y="971550"/>
          <a:ext cx="85725" cy="123825"/>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lang="zh-CN" altLang="en-US" sz="1100"/>
        </a:p>
      </xdr:txBody>
    </xdr:sp>
    <xdr:clientData/>
  </xdr:twoCellAnchor>
  <xdr:twoCellAnchor>
    <xdr:from>
      <xdr:col>11</xdr:col>
      <xdr:colOff>638175</xdr:colOff>
      <xdr:row>4</xdr:row>
      <xdr:rowOff>133350</xdr:rowOff>
    </xdr:from>
    <xdr:to>
      <xdr:col>12</xdr:col>
      <xdr:colOff>476250</xdr:colOff>
      <xdr:row>5</xdr:row>
      <xdr:rowOff>38100</xdr:rowOff>
    </xdr:to>
    <xdr:cxnSp macro="">
      <xdr:nvCxnSpPr>
        <xdr:cNvPr id="43" name="直接箭头连接符 42"/>
        <xdr:cNvCxnSpPr/>
      </xdr:nvCxnSpPr>
      <xdr:spPr>
        <a:xfrm flipV="1">
          <a:off x="11715750" y="1123950"/>
          <a:ext cx="647700" cy="152400"/>
        </a:xfrm>
        <a:prstGeom prst="straightConnector1">
          <a:avLst/>
        </a:prstGeom>
        <a:ln>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11</xdr:col>
      <xdr:colOff>771525</xdr:colOff>
      <xdr:row>3</xdr:row>
      <xdr:rowOff>209550</xdr:rowOff>
    </xdr:from>
    <xdr:ext cx="296107" cy="342786"/>
    <xdr:sp macro="" textlink="">
      <xdr:nvSpPr>
        <xdr:cNvPr id="44" name="TextBox 43"/>
        <xdr:cNvSpPr txBox="1"/>
      </xdr:nvSpPr>
      <xdr:spPr>
        <a:xfrm>
          <a:off x="11849100" y="952500"/>
          <a:ext cx="29610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600">
              <a:solidFill>
                <a:srgbClr val="FF0000"/>
              </a:solidFill>
            </a:rPr>
            <a:t>R</a:t>
          </a:r>
          <a:endParaRPr lang="zh-CN" altLang="en-US" sz="1600">
            <a:solidFill>
              <a:srgbClr val="FF0000"/>
            </a:solidFill>
          </a:endParaRPr>
        </a:p>
      </xdr:txBody>
    </xdr:sp>
    <xdr:clientData/>
  </xdr:oneCellAnchor>
  <xdr:twoCellAnchor>
    <xdr:from>
      <xdr:col>5</xdr:col>
      <xdr:colOff>187004</xdr:colOff>
      <xdr:row>4</xdr:row>
      <xdr:rowOff>61131</xdr:rowOff>
    </xdr:from>
    <xdr:to>
      <xdr:col>5</xdr:col>
      <xdr:colOff>395004</xdr:colOff>
      <xdr:row>5</xdr:row>
      <xdr:rowOff>41512</xdr:rowOff>
    </xdr:to>
    <xdr:sp macro="" textlink="">
      <xdr:nvSpPr>
        <xdr:cNvPr id="46" name="矩形 45"/>
        <xdr:cNvSpPr/>
      </xdr:nvSpPr>
      <xdr:spPr>
        <a:xfrm rot="-900000">
          <a:off x="6406829" y="1051731"/>
          <a:ext cx="208000" cy="22803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zh-CN" altLang="en-US" sz="1100"/>
        </a:p>
      </xdr:txBody>
    </xdr:sp>
    <xdr:clientData/>
  </xdr:twoCellAnchor>
  <xdr:twoCellAnchor>
    <xdr:from>
      <xdr:col>5</xdr:col>
      <xdr:colOff>241629</xdr:colOff>
      <xdr:row>3</xdr:row>
      <xdr:rowOff>213664</xdr:rowOff>
    </xdr:from>
    <xdr:to>
      <xdr:col>5</xdr:col>
      <xdr:colOff>341996</xdr:colOff>
      <xdr:row>5</xdr:row>
      <xdr:rowOff>149642</xdr:rowOff>
    </xdr:to>
    <xdr:sp macro="" textlink="">
      <xdr:nvSpPr>
        <xdr:cNvPr id="45" name="矩形 44"/>
        <xdr:cNvSpPr/>
      </xdr:nvSpPr>
      <xdr:spPr>
        <a:xfrm rot="-900000">
          <a:off x="6461454" y="956614"/>
          <a:ext cx="100367" cy="431278"/>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zh-CN" altLang="en-US" sz="1100"/>
        </a:p>
      </xdr:txBody>
    </xdr:sp>
    <xdr:clientData/>
  </xdr:twoCellAnchor>
  <xdr:twoCellAnchor>
    <xdr:from>
      <xdr:col>0</xdr:col>
      <xdr:colOff>9525</xdr:colOff>
      <xdr:row>0</xdr:row>
      <xdr:rowOff>19050</xdr:rowOff>
    </xdr:from>
    <xdr:to>
      <xdr:col>0</xdr:col>
      <xdr:colOff>819151</xdr:colOff>
      <xdr:row>0</xdr:row>
      <xdr:rowOff>257175</xdr:rowOff>
    </xdr:to>
    <xdr:sp macro="" textlink="">
      <xdr:nvSpPr>
        <xdr:cNvPr id="28" name="五边形 27">
          <a:hlinkClick xmlns:r="http://schemas.openxmlformats.org/officeDocument/2006/relationships" r:id="rId5"/>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9525</xdr:colOff>
      <xdr:row>106</xdr:row>
      <xdr:rowOff>0</xdr:rowOff>
    </xdr:from>
    <xdr:to>
      <xdr:col>12</xdr:col>
      <xdr:colOff>95250</xdr:colOff>
      <xdr:row>121</xdr:row>
      <xdr:rowOff>238125</xdr:rowOff>
    </xdr:to>
    <xdr:pic>
      <xdr:nvPicPr>
        <xdr:cNvPr id="15" name="Picture 17"/>
        <xdr:cNvPicPr>
          <a:picLocks noChangeAspect="1" noChangeArrowheads="1"/>
        </xdr:cNvPicPr>
      </xdr:nvPicPr>
      <xdr:blipFill>
        <a:blip xmlns:r="http://schemas.openxmlformats.org/officeDocument/2006/relationships" r:embed="rId1" cstate="print"/>
        <a:srcRect/>
        <a:stretch>
          <a:fillRect/>
        </a:stretch>
      </xdr:blipFill>
      <xdr:spPr bwMode="auto">
        <a:xfrm>
          <a:off x="6229350" y="25755600"/>
          <a:ext cx="5753100" cy="3952875"/>
        </a:xfrm>
        <a:prstGeom prst="rect">
          <a:avLst/>
        </a:prstGeom>
        <a:noFill/>
        <a:ln w="1">
          <a:noFill/>
          <a:miter lim="800000"/>
          <a:headEnd/>
          <a:tailEnd type="none" w="med" len="med"/>
        </a:ln>
        <a:effectLst/>
      </xdr:spPr>
    </xdr:pic>
    <xdr:clientData/>
  </xdr:twoCellAnchor>
  <xdr:twoCellAnchor editAs="oneCell">
    <xdr:from>
      <xdr:col>20</xdr:col>
      <xdr:colOff>523875</xdr:colOff>
      <xdr:row>43</xdr:row>
      <xdr:rowOff>228600</xdr:rowOff>
    </xdr:from>
    <xdr:to>
      <xdr:col>23</xdr:col>
      <xdr:colOff>342900</xdr:colOff>
      <xdr:row>48</xdr:row>
      <xdr:rowOff>161925</xdr:rowOff>
    </xdr:to>
    <xdr:pic>
      <xdr:nvPicPr>
        <xdr:cNvPr id="18" name="Picture 20"/>
        <xdr:cNvPicPr>
          <a:picLocks noChangeAspect="1" noChangeArrowheads="1"/>
        </xdr:cNvPicPr>
      </xdr:nvPicPr>
      <xdr:blipFill>
        <a:blip xmlns:r="http://schemas.openxmlformats.org/officeDocument/2006/relationships" r:embed="rId2" cstate="print"/>
        <a:srcRect/>
        <a:stretch>
          <a:fillRect/>
        </a:stretch>
      </xdr:blipFill>
      <xdr:spPr bwMode="auto">
        <a:xfrm>
          <a:off x="18583275" y="10629900"/>
          <a:ext cx="1790700" cy="1171575"/>
        </a:xfrm>
        <a:prstGeom prst="rect">
          <a:avLst/>
        </a:prstGeom>
        <a:noFill/>
        <a:ln w="1">
          <a:noFill/>
          <a:miter lim="800000"/>
          <a:headEnd/>
          <a:tailEnd type="none" w="med" len="med"/>
        </a:ln>
        <a:effectLst/>
      </xdr:spPr>
    </xdr:pic>
    <xdr:clientData/>
  </xdr:twoCellAnchor>
  <xdr:twoCellAnchor>
    <xdr:from>
      <xdr:col>11</xdr:col>
      <xdr:colOff>609600</xdr:colOff>
      <xdr:row>7</xdr:row>
      <xdr:rowOff>19050</xdr:rowOff>
    </xdr:from>
    <xdr:to>
      <xdr:col>12</xdr:col>
      <xdr:colOff>47625</xdr:colOff>
      <xdr:row>7</xdr:row>
      <xdr:rowOff>219075</xdr:rowOff>
    </xdr:to>
    <xdr:sp macro="" textlink="">
      <xdr:nvSpPr>
        <xdr:cNvPr id="30" name="矩形 29"/>
        <xdr:cNvSpPr/>
      </xdr:nvSpPr>
      <xdr:spPr>
        <a:xfrm>
          <a:off x="11687175" y="125730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xdr:from>
      <xdr:col>12</xdr:col>
      <xdr:colOff>409575</xdr:colOff>
      <xdr:row>6</xdr:row>
      <xdr:rowOff>76200</xdr:rowOff>
    </xdr:from>
    <xdr:to>
      <xdr:col>12</xdr:col>
      <xdr:colOff>657225</xdr:colOff>
      <xdr:row>7</xdr:row>
      <xdr:rowOff>28575</xdr:rowOff>
    </xdr:to>
    <xdr:sp macro="" textlink="">
      <xdr:nvSpPr>
        <xdr:cNvPr id="31" name="矩形 30"/>
        <xdr:cNvSpPr/>
      </xdr:nvSpPr>
      <xdr:spPr>
        <a:xfrm>
          <a:off x="12296775" y="131445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editAs="oneCell">
    <xdr:from>
      <xdr:col>5</xdr:col>
      <xdr:colOff>9525</xdr:colOff>
      <xdr:row>17</xdr:row>
      <xdr:rowOff>28575</xdr:rowOff>
    </xdr:from>
    <xdr:to>
      <xdr:col>12</xdr:col>
      <xdr:colOff>371475</xdr:colOff>
      <xdr:row>34</xdr:row>
      <xdr:rowOff>123169</xdr:rowOff>
    </xdr:to>
    <xdr:pic>
      <xdr:nvPicPr>
        <xdr:cNvPr id="20483"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6229350" y="3743325"/>
          <a:ext cx="6029325" cy="4304644"/>
        </a:xfrm>
        <a:prstGeom prst="rect">
          <a:avLst/>
        </a:prstGeom>
        <a:noFill/>
        <a:ln w="1">
          <a:noFill/>
          <a:miter lim="800000"/>
          <a:headEnd/>
          <a:tailEnd type="none" w="med" len="med"/>
        </a:ln>
        <a:effectLst/>
      </xdr:spPr>
    </xdr:pic>
    <xdr:clientData/>
  </xdr:twoCellAnchor>
  <xdr:twoCellAnchor editAs="oneCell">
    <xdr:from>
      <xdr:col>5</xdr:col>
      <xdr:colOff>9525</xdr:colOff>
      <xdr:row>45</xdr:row>
      <xdr:rowOff>9526</xdr:rowOff>
    </xdr:from>
    <xdr:to>
      <xdr:col>13</xdr:col>
      <xdr:colOff>285750</xdr:colOff>
      <xdr:row>62</xdr:row>
      <xdr:rowOff>143302</xdr:rowOff>
    </xdr:to>
    <xdr:pic>
      <xdr:nvPicPr>
        <xdr:cNvPr id="20489" name="Picture 9"/>
        <xdr:cNvPicPr>
          <a:picLocks noChangeAspect="1" noChangeArrowheads="1"/>
        </xdr:cNvPicPr>
      </xdr:nvPicPr>
      <xdr:blipFill>
        <a:blip xmlns:r="http://schemas.openxmlformats.org/officeDocument/2006/relationships" r:embed="rId4" cstate="print"/>
        <a:srcRect/>
        <a:stretch>
          <a:fillRect/>
        </a:stretch>
      </xdr:blipFill>
      <xdr:spPr bwMode="auto">
        <a:xfrm>
          <a:off x="6229350" y="10658476"/>
          <a:ext cx="6753225" cy="4343826"/>
        </a:xfrm>
        <a:prstGeom prst="rect">
          <a:avLst/>
        </a:prstGeom>
        <a:noFill/>
        <a:ln w="1">
          <a:noFill/>
          <a:miter lim="800000"/>
          <a:headEnd/>
          <a:tailEnd type="none" w="med" len="med"/>
        </a:ln>
        <a:effectLst/>
      </xdr:spPr>
    </xdr:pic>
    <xdr:clientData/>
  </xdr:twoCellAnchor>
  <xdr:twoCellAnchor editAs="oneCell">
    <xdr:from>
      <xdr:col>5</xdr:col>
      <xdr:colOff>0</xdr:colOff>
      <xdr:row>36</xdr:row>
      <xdr:rowOff>9525</xdr:rowOff>
    </xdr:from>
    <xdr:to>
      <xdr:col>11</xdr:col>
      <xdr:colOff>391406</xdr:colOff>
      <xdr:row>44</xdr:row>
      <xdr:rowOff>9524</xdr:rowOff>
    </xdr:to>
    <xdr:pic>
      <xdr:nvPicPr>
        <xdr:cNvPr id="20490" name="Picture 10"/>
        <xdr:cNvPicPr>
          <a:picLocks noChangeAspect="1" noChangeArrowheads="1"/>
        </xdr:cNvPicPr>
      </xdr:nvPicPr>
      <xdr:blipFill>
        <a:blip xmlns:r="http://schemas.openxmlformats.org/officeDocument/2006/relationships" r:embed="rId5" cstate="print"/>
        <a:srcRect/>
        <a:stretch>
          <a:fillRect/>
        </a:stretch>
      </xdr:blipFill>
      <xdr:spPr bwMode="auto">
        <a:xfrm>
          <a:off x="6219825" y="8429625"/>
          <a:ext cx="5249156" cy="1981199"/>
        </a:xfrm>
        <a:prstGeom prst="rect">
          <a:avLst/>
        </a:prstGeom>
        <a:noFill/>
        <a:ln w="1">
          <a:noFill/>
          <a:miter lim="800000"/>
          <a:headEnd/>
          <a:tailEnd type="none" w="med" len="med"/>
        </a:ln>
        <a:effectLst/>
      </xdr:spPr>
    </xdr:pic>
    <xdr:clientData/>
  </xdr:twoCellAnchor>
  <xdr:twoCellAnchor editAs="oneCell">
    <xdr:from>
      <xdr:col>6</xdr:col>
      <xdr:colOff>666750</xdr:colOff>
      <xdr:row>44</xdr:row>
      <xdr:rowOff>47625</xdr:rowOff>
    </xdr:from>
    <xdr:to>
      <xdr:col>8</xdr:col>
      <xdr:colOff>647700</xdr:colOff>
      <xdr:row>45</xdr:row>
      <xdr:rowOff>19050</xdr:rowOff>
    </xdr:to>
    <xdr:pic>
      <xdr:nvPicPr>
        <xdr:cNvPr id="20491" name="Picture 11"/>
        <xdr:cNvPicPr>
          <a:picLocks noChangeAspect="1" noChangeArrowheads="1"/>
        </xdr:cNvPicPr>
      </xdr:nvPicPr>
      <xdr:blipFill>
        <a:blip xmlns:r="http://schemas.openxmlformats.org/officeDocument/2006/relationships" r:embed="rId6" cstate="print"/>
        <a:srcRect/>
        <a:stretch>
          <a:fillRect/>
        </a:stretch>
      </xdr:blipFill>
      <xdr:spPr bwMode="auto">
        <a:xfrm>
          <a:off x="7696200" y="10448925"/>
          <a:ext cx="1600200" cy="219075"/>
        </a:xfrm>
        <a:prstGeom prst="rect">
          <a:avLst/>
        </a:prstGeom>
        <a:noFill/>
        <a:ln w="1">
          <a:noFill/>
          <a:miter lim="800000"/>
          <a:headEnd/>
          <a:tailEnd type="none" w="med" len="med"/>
        </a:ln>
        <a:effectLst/>
      </xdr:spPr>
    </xdr:pic>
    <xdr:clientData/>
  </xdr:twoCellAnchor>
  <xdr:twoCellAnchor editAs="oneCell">
    <xdr:from>
      <xdr:col>2</xdr:col>
      <xdr:colOff>9524</xdr:colOff>
      <xdr:row>19</xdr:row>
      <xdr:rowOff>119523</xdr:rowOff>
    </xdr:from>
    <xdr:to>
      <xdr:col>3</xdr:col>
      <xdr:colOff>1257300</xdr:colOff>
      <xdr:row>23</xdr:row>
      <xdr:rowOff>217028</xdr:rowOff>
    </xdr:to>
    <xdr:pic>
      <xdr:nvPicPr>
        <xdr:cNvPr id="20493" name="Picture 13"/>
        <xdr:cNvPicPr>
          <a:picLocks noChangeAspect="1" noChangeArrowheads="1"/>
        </xdr:cNvPicPr>
      </xdr:nvPicPr>
      <xdr:blipFill>
        <a:blip xmlns:r="http://schemas.openxmlformats.org/officeDocument/2006/relationships" r:embed="rId7" cstate="print"/>
        <a:srcRect/>
        <a:stretch>
          <a:fillRect/>
        </a:stretch>
      </xdr:blipFill>
      <xdr:spPr bwMode="auto">
        <a:xfrm>
          <a:off x="3171824" y="5815473"/>
          <a:ext cx="2438401" cy="1088105"/>
        </a:xfrm>
        <a:prstGeom prst="rect">
          <a:avLst/>
        </a:prstGeom>
        <a:noFill/>
        <a:ln w="1">
          <a:noFill/>
          <a:miter lim="800000"/>
          <a:headEnd/>
          <a:tailEnd type="none" w="med" len="med"/>
        </a:ln>
        <a:effectLst/>
      </xdr:spPr>
    </xdr:pic>
    <xdr:clientData/>
  </xdr:twoCellAnchor>
  <xdr:twoCellAnchor editAs="oneCell">
    <xdr:from>
      <xdr:col>2</xdr:col>
      <xdr:colOff>9525</xdr:colOff>
      <xdr:row>24</xdr:row>
      <xdr:rowOff>9526</xdr:rowOff>
    </xdr:from>
    <xdr:to>
      <xdr:col>2</xdr:col>
      <xdr:colOff>845840</xdr:colOff>
      <xdr:row>27</xdr:row>
      <xdr:rowOff>0</xdr:rowOff>
    </xdr:to>
    <xdr:pic>
      <xdr:nvPicPr>
        <xdr:cNvPr id="20495" name="Picture 15"/>
        <xdr:cNvPicPr>
          <a:picLocks noChangeAspect="1" noChangeArrowheads="1"/>
        </xdr:cNvPicPr>
      </xdr:nvPicPr>
      <xdr:blipFill>
        <a:blip xmlns:r="http://schemas.openxmlformats.org/officeDocument/2006/relationships" r:embed="rId8" cstate="print"/>
        <a:srcRect/>
        <a:stretch>
          <a:fillRect/>
        </a:stretch>
      </xdr:blipFill>
      <xdr:spPr bwMode="auto">
        <a:xfrm>
          <a:off x="3171825" y="6943726"/>
          <a:ext cx="836315" cy="733424"/>
        </a:xfrm>
        <a:prstGeom prst="rect">
          <a:avLst/>
        </a:prstGeom>
        <a:noFill/>
        <a:ln w="1">
          <a:noFill/>
          <a:miter lim="800000"/>
          <a:headEnd/>
          <a:tailEnd type="none" w="med" len="med"/>
        </a:ln>
        <a:effectLst/>
      </xdr:spPr>
    </xdr:pic>
    <xdr:clientData/>
  </xdr:twoCellAnchor>
  <xdr:twoCellAnchor editAs="oneCell">
    <xdr:from>
      <xdr:col>2</xdr:col>
      <xdr:colOff>975351</xdr:colOff>
      <xdr:row>24</xdr:row>
      <xdr:rowOff>9526</xdr:rowOff>
    </xdr:from>
    <xdr:to>
      <xdr:col>3</xdr:col>
      <xdr:colOff>1247775</xdr:colOff>
      <xdr:row>27</xdr:row>
      <xdr:rowOff>0</xdr:rowOff>
    </xdr:to>
    <xdr:pic>
      <xdr:nvPicPr>
        <xdr:cNvPr id="20496" name="Picture 16"/>
        <xdr:cNvPicPr>
          <a:picLocks noChangeAspect="1" noChangeArrowheads="1"/>
        </xdr:cNvPicPr>
      </xdr:nvPicPr>
      <xdr:blipFill>
        <a:blip xmlns:r="http://schemas.openxmlformats.org/officeDocument/2006/relationships" r:embed="rId9" cstate="print"/>
        <a:srcRect/>
        <a:stretch>
          <a:fillRect/>
        </a:stretch>
      </xdr:blipFill>
      <xdr:spPr bwMode="auto">
        <a:xfrm>
          <a:off x="4137651" y="6943726"/>
          <a:ext cx="1463049" cy="733424"/>
        </a:xfrm>
        <a:prstGeom prst="rect">
          <a:avLst/>
        </a:prstGeom>
        <a:noFill/>
        <a:ln w="1">
          <a:noFill/>
          <a:miter lim="800000"/>
          <a:headEnd/>
          <a:tailEnd type="none" w="med" len="med"/>
        </a:ln>
        <a:effectLst/>
      </xdr:spPr>
    </xdr:pic>
    <xdr:clientData/>
  </xdr:twoCellAnchor>
  <xdr:twoCellAnchor editAs="oneCell">
    <xdr:from>
      <xdr:col>2</xdr:col>
      <xdr:colOff>9525</xdr:colOff>
      <xdr:row>27</xdr:row>
      <xdr:rowOff>19050</xdr:rowOff>
    </xdr:from>
    <xdr:to>
      <xdr:col>2</xdr:col>
      <xdr:colOff>723900</xdr:colOff>
      <xdr:row>33</xdr:row>
      <xdr:rowOff>219075</xdr:rowOff>
    </xdr:to>
    <xdr:pic>
      <xdr:nvPicPr>
        <xdr:cNvPr id="20497" name="Picture 17"/>
        <xdr:cNvPicPr>
          <a:picLocks noChangeAspect="1" noChangeArrowheads="1"/>
        </xdr:cNvPicPr>
      </xdr:nvPicPr>
      <xdr:blipFill>
        <a:blip xmlns:r="http://schemas.openxmlformats.org/officeDocument/2006/relationships" r:embed="rId10" cstate="print"/>
        <a:srcRect/>
        <a:stretch>
          <a:fillRect/>
        </a:stretch>
      </xdr:blipFill>
      <xdr:spPr bwMode="auto">
        <a:xfrm>
          <a:off x="3171825" y="7696200"/>
          <a:ext cx="714375" cy="1685925"/>
        </a:xfrm>
        <a:prstGeom prst="rect">
          <a:avLst/>
        </a:prstGeom>
        <a:noFill/>
        <a:ln w="1">
          <a:noFill/>
          <a:miter lim="800000"/>
          <a:headEnd/>
          <a:tailEnd type="none" w="med" len="med"/>
        </a:ln>
        <a:effectLst/>
      </xdr:spPr>
    </xdr:pic>
    <xdr:clientData/>
  </xdr:twoCellAnchor>
  <xdr:twoCellAnchor editAs="oneCell">
    <xdr:from>
      <xdr:col>2</xdr:col>
      <xdr:colOff>819150</xdr:colOff>
      <xdr:row>27</xdr:row>
      <xdr:rowOff>9525</xdr:rowOff>
    </xdr:from>
    <xdr:to>
      <xdr:col>3</xdr:col>
      <xdr:colOff>571500</xdr:colOff>
      <xdr:row>33</xdr:row>
      <xdr:rowOff>237301</xdr:rowOff>
    </xdr:to>
    <xdr:pic>
      <xdr:nvPicPr>
        <xdr:cNvPr id="20498" name="Picture 18"/>
        <xdr:cNvPicPr>
          <a:picLocks noChangeAspect="1" noChangeArrowheads="1"/>
        </xdr:cNvPicPr>
      </xdr:nvPicPr>
      <xdr:blipFill>
        <a:blip xmlns:r="http://schemas.openxmlformats.org/officeDocument/2006/relationships" r:embed="rId11" cstate="print"/>
        <a:srcRect/>
        <a:stretch>
          <a:fillRect/>
        </a:stretch>
      </xdr:blipFill>
      <xdr:spPr bwMode="auto">
        <a:xfrm>
          <a:off x="3981450" y="7686675"/>
          <a:ext cx="942975" cy="1713676"/>
        </a:xfrm>
        <a:prstGeom prst="rect">
          <a:avLst/>
        </a:prstGeom>
        <a:noFill/>
        <a:ln w="1">
          <a:noFill/>
          <a:miter lim="800000"/>
          <a:headEnd/>
          <a:tailEnd type="none" w="med" len="med"/>
        </a:ln>
        <a:effectLst/>
      </xdr:spPr>
    </xdr:pic>
    <xdr:clientData/>
  </xdr:twoCellAnchor>
  <xdr:twoCellAnchor editAs="oneCell">
    <xdr:from>
      <xdr:col>2</xdr:col>
      <xdr:colOff>19050</xdr:colOff>
      <xdr:row>34</xdr:row>
      <xdr:rowOff>9524</xdr:rowOff>
    </xdr:from>
    <xdr:to>
      <xdr:col>3</xdr:col>
      <xdr:colOff>9525</xdr:colOff>
      <xdr:row>37</xdr:row>
      <xdr:rowOff>228600</xdr:rowOff>
    </xdr:to>
    <xdr:pic>
      <xdr:nvPicPr>
        <xdr:cNvPr id="20499" name="Picture 19"/>
        <xdr:cNvPicPr>
          <a:picLocks noChangeAspect="1" noChangeArrowheads="1"/>
        </xdr:cNvPicPr>
      </xdr:nvPicPr>
      <xdr:blipFill>
        <a:blip xmlns:r="http://schemas.openxmlformats.org/officeDocument/2006/relationships" r:embed="rId12" cstate="print"/>
        <a:srcRect/>
        <a:stretch>
          <a:fillRect/>
        </a:stretch>
      </xdr:blipFill>
      <xdr:spPr bwMode="auto">
        <a:xfrm>
          <a:off x="3181350" y="9420224"/>
          <a:ext cx="1181100" cy="962026"/>
        </a:xfrm>
        <a:prstGeom prst="rect">
          <a:avLst/>
        </a:prstGeom>
        <a:noFill/>
        <a:ln w="1">
          <a:noFill/>
          <a:miter lim="800000"/>
          <a:headEnd/>
          <a:tailEnd type="none" w="med" len="med"/>
        </a:ln>
        <a:effectLst/>
      </xdr:spPr>
    </xdr:pic>
    <xdr:clientData/>
  </xdr:twoCellAnchor>
  <xdr:twoCellAnchor editAs="oneCell">
    <xdr:from>
      <xdr:col>3</xdr:col>
      <xdr:colOff>219075</xdr:colOff>
      <xdr:row>34</xdr:row>
      <xdr:rowOff>19050</xdr:rowOff>
    </xdr:from>
    <xdr:to>
      <xdr:col>3</xdr:col>
      <xdr:colOff>1207399</xdr:colOff>
      <xdr:row>37</xdr:row>
      <xdr:rowOff>228600</xdr:rowOff>
    </xdr:to>
    <xdr:pic>
      <xdr:nvPicPr>
        <xdr:cNvPr id="20500" name="Picture 20"/>
        <xdr:cNvPicPr>
          <a:picLocks noChangeAspect="1" noChangeArrowheads="1"/>
        </xdr:cNvPicPr>
      </xdr:nvPicPr>
      <xdr:blipFill>
        <a:blip xmlns:r="http://schemas.openxmlformats.org/officeDocument/2006/relationships" r:embed="rId13" cstate="print"/>
        <a:srcRect/>
        <a:stretch>
          <a:fillRect/>
        </a:stretch>
      </xdr:blipFill>
      <xdr:spPr bwMode="auto">
        <a:xfrm>
          <a:off x="4572000" y="9429750"/>
          <a:ext cx="988324" cy="952500"/>
        </a:xfrm>
        <a:prstGeom prst="rect">
          <a:avLst/>
        </a:prstGeom>
        <a:noFill/>
        <a:ln w="1">
          <a:noFill/>
          <a:miter lim="800000"/>
          <a:headEnd/>
          <a:tailEnd type="none" w="med" len="med"/>
        </a:ln>
        <a:effectLst/>
      </xdr:spPr>
    </xdr:pic>
    <xdr:clientData/>
  </xdr:twoCellAnchor>
  <xdr:twoCellAnchor editAs="oneCell">
    <xdr:from>
      <xdr:col>0</xdr:col>
      <xdr:colOff>0</xdr:colOff>
      <xdr:row>51</xdr:row>
      <xdr:rowOff>9524</xdr:rowOff>
    </xdr:from>
    <xdr:to>
      <xdr:col>3</xdr:col>
      <xdr:colOff>304800</xdr:colOff>
      <xdr:row>64</xdr:row>
      <xdr:rowOff>239745</xdr:rowOff>
    </xdr:to>
    <xdr:pic>
      <xdr:nvPicPr>
        <xdr:cNvPr id="20503" name="Picture 23"/>
        <xdr:cNvPicPr>
          <a:picLocks noChangeAspect="1" noChangeArrowheads="1"/>
        </xdr:cNvPicPr>
      </xdr:nvPicPr>
      <xdr:blipFill>
        <a:blip xmlns:r="http://schemas.openxmlformats.org/officeDocument/2006/relationships" r:embed="rId14" cstate="print"/>
        <a:srcRect/>
        <a:stretch>
          <a:fillRect/>
        </a:stretch>
      </xdr:blipFill>
      <xdr:spPr bwMode="auto">
        <a:xfrm>
          <a:off x="0" y="13134974"/>
          <a:ext cx="4657725" cy="3449671"/>
        </a:xfrm>
        <a:prstGeom prst="rect">
          <a:avLst/>
        </a:prstGeom>
        <a:noFill/>
        <a:ln w="1">
          <a:noFill/>
          <a:miter lim="800000"/>
          <a:headEnd/>
          <a:tailEnd type="none" w="med" len="med"/>
        </a:ln>
        <a:effectLst/>
      </xdr:spPr>
    </xdr:pic>
    <xdr:clientData/>
  </xdr:twoCellAnchor>
  <xdr:twoCellAnchor editAs="oneCell">
    <xdr:from>
      <xdr:col>10</xdr:col>
      <xdr:colOff>0</xdr:colOff>
      <xdr:row>4</xdr:row>
      <xdr:rowOff>9524</xdr:rowOff>
    </xdr:from>
    <xdr:to>
      <xdr:col>14</xdr:col>
      <xdr:colOff>19050</xdr:colOff>
      <xdr:row>6</xdr:row>
      <xdr:rowOff>247649</xdr:rowOff>
    </xdr:to>
    <xdr:pic>
      <xdr:nvPicPr>
        <xdr:cNvPr id="20504" name="Picture 24"/>
        <xdr:cNvPicPr>
          <a:picLocks noChangeAspect="1" noChangeArrowheads="1"/>
        </xdr:cNvPicPr>
      </xdr:nvPicPr>
      <xdr:blipFill>
        <a:blip xmlns:r="http://schemas.openxmlformats.org/officeDocument/2006/relationships" r:embed="rId15" cstate="print"/>
        <a:srcRect/>
        <a:stretch>
          <a:fillRect/>
        </a:stretch>
      </xdr:blipFill>
      <xdr:spPr bwMode="auto">
        <a:xfrm>
          <a:off x="10267950" y="1000124"/>
          <a:ext cx="3257550" cy="73342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9" name="五边形 18">
          <a:hlinkClick xmlns:r="http://schemas.openxmlformats.org/officeDocument/2006/relationships" r:id="rId16"/>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9525</xdr:colOff>
      <xdr:row>97</xdr:row>
      <xdr:rowOff>0</xdr:rowOff>
    </xdr:from>
    <xdr:to>
      <xdr:col>12</xdr:col>
      <xdr:colOff>95250</xdr:colOff>
      <xdr:row>112</xdr:row>
      <xdr:rowOff>238125</xdr:rowOff>
    </xdr:to>
    <xdr:pic>
      <xdr:nvPicPr>
        <xdr:cNvPr id="2" name="Picture 17"/>
        <xdr:cNvPicPr>
          <a:picLocks noChangeAspect="1" noChangeArrowheads="1"/>
        </xdr:cNvPicPr>
      </xdr:nvPicPr>
      <xdr:blipFill>
        <a:blip xmlns:r="http://schemas.openxmlformats.org/officeDocument/2006/relationships" r:embed="rId1" cstate="print"/>
        <a:srcRect/>
        <a:stretch>
          <a:fillRect/>
        </a:stretch>
      </xdr:blipFill>
      <xdr:spPr bwMode="auto">
        <a:xfrm>
          <a:off x="6229350" y="25755600"/>
          <a:ext cx="5753100" cy="3952875"/>
        </a:xfrm>
        <a:prstGeom prst="rect">
          <a:avLst/>
        </a:prstGeom>
        <a:noFill/>
        <a:ln w="1">
          <a:noFill/>
          <a:miter lim="800000"/>
          <a:headEnd/>
          <a:tailEnd type="none" w="med" len="med"/>
        </a:ln>
        <a:effectLst/>
      </xdr:spPr>
    </xdr:pic>
    <xdr:clientData/>
  </xdr:twoCellAnchor>
  <xdr:twoCellAnchor editAs="oneCell">
    <xdr:from>
      <xdr:col>20</xdr:col>
      <xdr:colOff>523875</xdr:colOff>
      <xdr:row>43</xdr:row>
      <xdr:rowOff>228600</xdr:rowOff>
    </xdr:from>
    <xdr:to>
      <xdr:col>23</xdr:col>
      <xdr:colOff>342900</xdr:colOff>
      <xdr:row>48</xdr:row>
      <xdr:rowOff>161925</xdr:rowOff>
    </xdr:to>
    <xdr:pic>
      <xdr:nvPicPr>
        <xdr:cNvPr id="3" name="Picture 20"/>
        <xdr:cNvPicPr>
          <a:picLocks noChangeAspect="1" noChangeArrowheads="1"/>
        </xdr:cNvPicPr>
      </xdr:nvPicPr>
      <xdr:blipFill>
        <a:blip xmlns:r="http://schemas.openxmlformats.org/officeDocument/2006/relationships" r:embed="rId2" cstate="print"/>
        <a:srcRect/>
        <a:stretch>
          <a:fillRect/>
        </a:stretch>
      </xdr:blipFill>
      <xdr:spPr bwMode="auto">
        <a:xfrm>
          <a:off x="18583275" y="10629900"/>
          <a:ext cx="1790700" cy="1171575"/>
        </a:xfrm>
        <a:prstGeom prst="rect">
          <a:avLst/>
        </a:prstGeom>
        <a:noFill/>
        <a:ln w="1">
          <a:noFill/>
          <a:miter lim="800000"/>
          <a:headEnd/>
          <a:tailEnd type="none" w="med" len="med"/>
        </a:ln>
        <a:effectLst/>
      </xdr:spPr>
    </xdr:pic>
    <xdr:clientData/>
  </xdr:twoCellAnchor>
  <xdr:twoCellAnchor>
    <xdr:from>
      <xdr:col>11</xdr:col>
      <xdr:colOff>609600</xdr:colOff>
      <xdr:row>7</xdr:row>
      <xdr:rowOff>19050</xdr:rowOff>
    </xdr:from>
    <xdr:to>
      <xdr:col>12</xdr:col>
      <xdr:colOff>47625</xdr:colOff>
      <xdr:row>7</xdr:row>
      <xdr:rowOff>219075</xdr:rowOff>
    </xdr:to>
    <xdr:sp macro="" textlink="">
      <xdr:nvSpPr>
        <xdr:cNvPr id="4" name="矩形 3"/>
        <xdr:cNvSpPr/>
      </xdr:nvSpPr>
      <xdr:spPr>
        <a:xfrm>
          <a:off x="11687175" y="150495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xdr:from>
      <xdr:col>12</xdr:col>
      <xdr:colOff>409575</xdr:colOff>
      <xdr:row>6</xdr:row>
      <xdr:rowOff>76200</xdr:rowOff>
    </xdr:from>
    <xdr:to>
      <xdr:col>12</xdr:col>
      <xdr:colOff>657225</xdr:colOff>
      <xdr:row>7</xdr:row>
      <xdr:rowOff>28575</xdr:rowOff>
    </xdr:to>
    <xdr:sp macro="" textlink="">
      <xdr:nvSpPr>
        <xdr:cNvPr id="5" name="矩形 4"/>
        <xdr:cNvSpPr/>
      </xdr:nvSpPr>
      <xdr:spPr>
        <a:xfrm>
          <a:off x="12296775" y="131445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xdr:from>
      <xdr:col>11</xdr:col>
      <xdr:colOff>609600</xdr:colOff>
      <xdr:row>7</xdr:row>
      <xdr:rowOff>19050</xdr:rowOff>
    </xdr:from>
    <xdr:to>
      <xdr:col>12</xdr:col>
      <xdr:colOff>47625</xdr:colOff>
      <xdr:row>7</xdr:row>
      <xdr:rowOff>219075</xdr:rowOff>
    </xdr:to>
    <xdr:sp macro="" textlink="">
      <xdr:nvSpPr>
        <xdr:cNvPr id="19" name="矩形 18"/>
        <xdr:cNvSpPr/>
      </xdr:nvSpPr>
      <xdr:spPr>
        <a:xfrm>
          <a:off x="11687175" y="175260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xdr:from>
      <xdr:col>12</xdr:col>
      <xdr:colOff>409575</xdr:colOff>
      <xdr:row>6</xdr:row>
      <xdr:rowOff>76200</xdr:rowOff>
    </xdr:from>
    <xdr:to>
      <xdr:col>12</xdr:col>
      <xdr:colOff>657225</xdr:colOff>
      <xdr:row>7</xdr:row>
      <xdr:rowOff>28575</xdr:rowOff>
    </xdr:to>
    <xdr:sp macro="" textlink="">
      <xdr:nvSpPr>
        <xdr:cNvPr id="20" name="矩形 19"/>
        <xdr:cNvSpPr/>
      </xdr:nvSpPr>
      <xdr:spPr>
        <a:xfrm>
          <a:off x="12296775" y="1562100"/>
          <a:ext cx="247650" cy="2000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zh-CN" altLang="en-US" sz="1100"/>
        </a:p>
      </xdr:txBody>
    </xdr:sp>
    <xdr:clientData/>
  </xdr:twoCellAnchor>
  <xdr:twoCellAnchor editAs="oneCell">
    <xdr:from>
      <xdr:col>10</xdr:col>
      <xdr:colOff>0</xdr:colOff>
      <xdr:row>4</xdr:row>
      <xdr:rowOff>9524</xdr:rowOff>
    </xdr:from>
    <xdr:to>
      <xdr:col>14</xdr:col>
      <xdr:colOff>19050</xdr:colOff>
      <xdr:row>6</xdr:row>
      <xdr:rowOff>247649</xdr:rowOff>
    </xdr:to>
    <xdr:pic>
      <xdr:nvPicPr>
        <xdr:cNvPr id="21" name="Picture 24"/>
        <xdr:cNvPicPr>
          <a:picLocks noChangeAspect="1" noChangeArrowheads="1"/>
        </xdr:cNvPicPr>
      </xdr:nvPicPr>
      <xdr:blipFill>
        <a:blip xmlns:r="http://schemas.openxmlformats.org/officeDocument/2006/relationships" r:embed="rId3" cstate="print"/>
        <a:srcRect/>
        <a:stretch>
          <a:fillRect/>
        </a:stretch>
      </xdr:blipFill>
      <xdr:spPr bwMode="auto">
        <a:xfrm>
          <a:off x="10267950" y="1000124"/>
          <a:ext cx="3257550" cy="733425"/>
        </a:xfrm>
        <a:prstGeom prst="rect">
          <a:avLst/>
        </a:prstGeom>
        <a:noFill/>
        <a:ln w="1">
          <a:noFill/>
          <a:miter lim="800000"/>
          <a:headEnd/>
          <a:tailEnd type="none" w="med" len="med"/>
        </a:ln>
        <a:effectLst/>
      </xdr:spPr>
    </xdr:pic>
    <xdr:clientData/>
  </xdr:twoCellAnchor>
  <xdr:twoCellAnchor editAs="oneCell">
    <xdr:from>
      <xdr:col>5</xdr:col>
      <xdr:colOff>9525</xdr:colOff>
      <xdr:row>14</xdr:row>
      <xdr:rowOff>9525</xdr:rowOff>
    </xdr:from>
    <xdr:to>
      <xdr:col>12</xdr:col>
      <xdr:colOff>9525</xdr:colOff>
      <xdr:row>35</xdr:row>
      <xdr:rowOff>161925</xdr:rowOff>
    </xdr:to>
    <xdr:pic>
      <xdr:nvPicPr>
        <xdr:cNvPr id="21514" name="Picture 10"/>
        <xdr:cNvPicPr>
          <a:picLocks noChangeAspect="1" noChangeArrowheads="1"/>
        </xdr:cNvPicPr>
      </xdr:nvPicPr>
      <xdr:blipFill>
        <a:blip xmlns:r="http://schemas.openxmlformats.org/officeDocument/2006/relationships" r:embed="rId4" cstate="print"/>
        <a:srcRect/>
        <a:stretch>
          <a:fillRect/>
        </a:stretch>
      </xdr:blipFill>
      <xdr:spPr bwMode="auto">
        <a:xfrm>
          <a:off x="6229350" y="3476625"/>
          <a:ext cx="5667375" cy="5353050"/>
        </a:xfrm>
        <a:prstGeom prst="rect">
          <a:avLst/>
        </a:prstGeom>
        <a:noFill/>
        <a:ln w="1">
          <a:noFill/>
          <a:miter lim="800000"/>
          <a:headEnd/>
          <a:tailEnd type="none" w="med" len="med"/>
        </a:ln>
        <a:effectLst/>
      </xdr:spPr>
    </xdr:pic>
    <xdr:clientData/>
  </xdr:twoCellAnchor>
  <xdr:twoCellAnchor>
    <xdr:from>
      <xdr:col>9</xdr:col>
      <xdr:colOff>457200</xdr:colOff>
      <xdr:row>21</xdr:row>
      <xdr:rowOff>9526</xdr:rowOff>
    </xdr:from>
    <xdr:to>
      <xdr:col>10</xdr:col>
      <xdr:colOff>57150</xdr:colOff>
      <xdr:row>21</xdr:row>
      <xdr:rowOff>133350</xdr:rowOff>
    </xdr:to>
    <xdr:cxnSp macro="">
      <xdr:nvCxnSpPr>
        <xdr:cNvPr id="12" name="直接箭头连接符 11"/>
        <xdr:cNvCxnSpPr/>
      </xdr:nvCxnSpPr>
      <xdr:spPr>
        <a:xfrm flipH="1" flipV="1">
          <a:off x="9915525" y="5210176"/>
          <a:ext cx="409575" cy="123824"/>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9525</xdr:colOff>
      <xdr:row>0</xdr:row>
      <xdr:rowOff>19050</xdr:rowOff>
    </xdr:from>
    <xdr:to>
      <xdr:col>0</xdr:col>
      <xdr:colOff>819151</xdr:colOff>
      <xdr:row>0</xdr:row>
      <xdr:rowOff>257175</xdr:rowOff>
    </xdr:to>
    <xdr:sp macro="" textlink="">
      <xdr:nvSpPr>
        <xdr:cNvPr id="11" name="五边形 10">
          <a:hlinkClick xmlns:r="http://schemas.openxmlformats.org/officeDocument/2006/relationships" r:id="rId5"/>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9525</xdr:colOff>
      <xdr:row>99</xdr:row>
      <xdr:rowOff>0</xdr:rowOff>
    </xdr:from>
    <xdr:to>
      <xdr:col>12</xdr:col>
      <xdr:colOff>95250</xdr:colOff>
      <xdr:row>114</xdr:row>
      <xdr:rowOff>238125</xdr:rowOff>
    </xdr:to>
    <xdr:pic>
      <xdr:nvPicPr>
        <xdr:cNvPr id="2" name="Picture 17"/>
        <xdr:cNvPicPr>
          <a:picLocks noChangeAspect="1" noChangeArrowheads="1"/>
        </xdr:cNvPicPr>
      </xdr:nvPicPr>
      <xdr:blipFill>
        <a:blip xmlns:r="http://schemas.openxmlformats.org/officeDocument/2006/relationships" r:embed="rId1" cstate="print"/>
        <a:srcRect/>
        <a:stretch>
          <a:fillRect/>
        </a:stretch>
      </xdr:blipFill>
      <xdr:spPr bwMode="auto">
        <a:xfrm>
          <a:off x="6257925" y="24022050"/>
          <a:ext cx="5753100" cy="3952875"/>
        </a:xfrm>
        <a:prstGeom prst="rect">
          <a:avLst/>
        </a:prstGeom>
        <a:noFill/>
        <a:ln w="1">
          <a:noFill/>
          <a:miter lim="800000"/>
          <a:headEnd/>
          <a:tailEnd type="none" w="med" len="med"/>
        </a:ln>
        <a:effectLst/>
      </xdr:spPr>
    </xdr:pic>
    <xdr:clientData/>
  </xdr:twoCellAnchor>
  <xdr:twoCellAnchor editAs="oneCell">
    <xdr:from>
      <xdr:col>20</xdr:col>
      <xdr:colOff>523875</xdr:colOff>
      <xdr:row>45</xdr:row>
      <xdr:rowOff>228600</xdr:rowOff>
    </xdr:from>
    <xdr:to>
      <xdr:col>23</xdr:col>
      <xdr:colOff>342900</xdr:colOff>
      <xdr:row>50</xdr:row>
      <xdr:rowOff>161925</xdr:rowOff>
    </xdr:to>
    <xdr:pic>
      <xdr:nvPicPr>
        <xdr:cNvPr id="3" name="Picture 20"/>
        <xdr:cNvPicPr>
          <a:picLocks noChangeAspect="1" noChangeArrowheads="1"/>
        </xdr:cNvPicPr>
      </xdr:nvPicPr>
      <xdr:blipFill>
        <a:blip xmlns:r="http://schemas.openxmlformats.org/officeDocument/2006/relationships" r:embed="rId2" cstate="print"/>
        <a:srcRect/>
        <a:stretch>
          <a:fillRect/>
        </a:stretch>
      </xdr:blipFill>
      <xdr:spPr bwMode="auto">
        <a:xfrm>
          <a:off x="18611850" y="10877550"/>
          <a:ext cx="1790700" cy="1171575"/>
        </a:xfrm>
        <a:prstGeom prst="rect">
          <a:avLst/>
        </a:prstGeom>
        <a:noFill/>
        <a:ln w="1">
          <a:noFill/>
          <a:miter lim="800000"/>
          <a:headEnd/>
          <a:tailEnd type="none" w="med" len="med"/>
        </a:ln>
        <a:effectLst/>
      </xdr:spPr>
    </xdr:pic>
    <xdr:clientData/>
  </xdr:twoCellAnchor>
  <xdr:twoCellAnchor editAs="oneCell">
    <xdr:from>
      <xdr:col>0</xdr:col>
      <xdr:colOff>9525</xdr:colOff>
      <xdr:row>44</xdr:row>
      <xdr:rowOff>19051</xdr:rowOff>
    </xdr:from>
    <xdr:to>
      <xdr:col>2</xdr:col>
      <xdr:colOff>1181100</xdr:colOff>
      <xdr:row>51</xdr:row>
      <xdr:rowOff>240137</xdr:rowOff>
    </xdr:to>
    <xdr:pic>
      <xdr:nvPicPr>
        <xdr:cNvPr id="24584" name="Picture 8"/>
        <xdr:cNvPicPr>
          <a:picLocks noChangeAspect="1" noChangeArrowheads="1"/>
        </xdr:cNvPicPr>
      </xdr:nvPicPr>
      <xdr:blipFill>
        <a:blip xmlns:r="http://schemas.openxmlformats.org/officeDocument/2006/relationships" r:embed="rId3" cstate="print"/>
        <a:srcRect/>
        <a:stretch>
          <a:fillRect/>
        </a:stretch>
      </xdr:blipFill>
      <xdr:spPr bwMode="auto">
        <a:xfrm>
          <a:off x="9525" y="10172701"/>
          <a:ext cx="4333875" cy="1954636"/>
        </a:xfrm>
        <a:prstGeom prst="rect">
          <a:avLst/>
        </a:prstGeom>
        <a:noFill/>
        <a:ln w="1">
          <a:noFill/>
          <a:miter lim="800000"/>
          <a:headEnd/>
          <a:tailEnd type="none" w="med" len="med"/>
        </a:ln>
        <a:effectLst/>
      </xdr:spPr>
    </xdr:pic>
    <xdr:clientData/>
  </xdr:twoCellAnchor>
  <xdr:twoCellAnchor editAs="oneCell">
    <xdr:from>
      <xdr:col>2</xdr:col>
      <xdr:colOff>28575</xdr:colOff>
      <xdr:row>25</xdr:row>
      <xdr:rowOff>95251</xdr:rowOff>
    </xdr:from>
    <xdr:to>
      <xdr:col>2</xdr:col>
      <xdr:colOff>1047750</xdr:colOff>
      <xdr:row>29</xdr:row>
      <xdr:rowOff>174049</xdr:rowOff>
    </xdr:to>
    <xdr:pic>
      <xdr:nvPicPr>
        <xdr:cNvPr id="24585" name="Picture 9"/>
        <xdr:cNvPicPr>
          <a:picLocks noChangeAspect="1" noChangeArrowheads="1"/>
        </xdr:cNvPicPr>
      </xdr:nvPicPr>
      <xdr:blipFill>
        <a:blip xmlns:r="http://schemas.openxmlformats.org/officeDocument/2006/relationships" r:embed="rId4" cstate="print"/>
        <a:srcRect/>
        <a:stretch>
          <a:fillRect/>
        </a:stretch>
      </xdr:blipFill>
      <xdr:spPr bwMode="auto">
        <a:xfrm>
          <a:off x="3190875" y="5543551"/>
          <a:ext cx="1019175" cy="1069398"/>
        </a:xfrm>
        <a:prstGeom prst="rect">
          <a:avLst/>
        </a:prstGeom>
        <a:noFill/>
        <a:ln w="1">
          <a:noFill/>
          <a:miter lim="800000"/>
          <a:headEnd/>
          <a:tailEnd type="none" w="med" len="med"/>
        </a:ln>
        <a:effectLst/>
      </xdr:spPr>
    </xdr:pic>
    <xdr:clientData/>
  </xdr:twoCellAnchor>
  <xdr:twoCellAnchor editAs="oneCell">
    <xdr:from>
      <xdr:col>2</xdr:col>
      <xdr:colOff>1123950</xdr:colOff>
      <xdr:row>25</xdr:row>
      <xdr:rowOff>161926</xdr:rowOff>
    </xdr:from>
    <xdr:to>
      <xdr:col>3</xdr:col>
      <xdr:colOff>1291974</xdr:colOff>
      <xdr:row>29</xdr:row>
      <xdr:rowOff>180976</xdr:rowOff>
    </xdr:to>
    <xdr:pic>
      <xdr:nvPicPr>
        <xdr:cNvPr id="24586" name="Picture 10"/>
        <xdr:cNvPicPr>
          <a:picLocks noChangeAspect="1" noChangeArrowheads="1"/>
        </xdr:cNvPicPr>
      </xdr:nvPicPr>
      <xdr:blipFill>
        <a:blip xmlns:r="http://schemas.openxmlformats.org/officeDocument/2006/relationships" r:embed="rId5" cstate="print"/>
        <a:srcRect/>
        <a:stretch>
          <a:fillRect/>
        </a:stretch>
      </xdr:blipFill>
      <xdr:spPr bwMode="auto">
        <a:xfrm>
          <a:off x="4286250" y="5610226"/>
          <a:ext cx="1358649" cy="1009650"/>
        </a:xfrm>
        <a:prstGeom prst="rect">
          <a:avLst/>
        </a:prstGeom>
        <a:noFill/>
        <a:ln w="1">
          <a:noFill/>
          <a:miter lim="800000"/>
          <a:headEnd/>
          <a:tailEnd type="none" w="med" len="med"/>
        </a:ln>
        <a:effectLst/>
      </xdr:spPr>
    </xdr:pic>
    <xdr:clientData/>
  </xdr:twoCellAnchor>
  <xdr:twoCellAnchor editAs="oneCell">
    <xdr:from>
      <xdr:col>2</xdr:col>
      <xdr:colOff>28575</xdr:colOff>
      <xdr:row>30</xdr:row>
      <xdr:rowOff>9525</xdr:rowOff>
    </xdr:from>
    <xdr:to>
      <xdr:col>2</xdr:col>
      <xdr:colOff>1085850</xdr:colOff>
      <xdr:row>33</xdr:row>
      <xdr:rowOff>233946</xdr:rowOff>
    </xdr:to>
    <xdr:pic>
      <xdr:nvPicPr>
        <xdr:cNvPr id="24587" name="Picture 11"/>
        <xdr:cNvPicPr>
          <a:picLocks noChangeAspect="1" noChangeArrowheads="1"/>
        </xdr:cNvPicPr>
      </xdr:nvPicPr>
      <xdr:blipFill>
        <a:blip xmlns:r="http://schemas.openxmlformats.org/officeDocument/2006/relationships" r:embed="rId6" cstate="print"/>
        <a:srcRect/>
        <a:stretch>
          <a:fillRect/>
        </a:stretch>
      </xdr:blipFill>
      <xdr:spPr bwMode="auto">
        <a:xfrm>
          <a:off x="3190875" y="6448425"/>
          <a:ext cx="1057275" cy="967371"/>
        </a:xfrm>
        <a:prstGeom prst="rect">
          <a:avLst/>
        </a:prstGeom>
        <a:noFill/>
        <a:ln w="1">
          <a:noFill/>
          <a:miter lim="800000"/>
          <a:headEnd/>
          <a:tailEnd type="none" w="med" len="med"/>
        </a:ln>
        <a:effectLst/>
      </xdr:spPr>
    </xdr:pic>
    <xdr:clientData/>
  </xdr:twoCellAnchor>
  <xdr:twoCellAnchor editAs="oneCell">
    <xdr:from>
      <xdr:col>2</xdr:col>
      <xdr:colOff>1085850</xdr:colOff>
      <xdr:row>30</xdr:row>
      <xdr:rowOff>85726</xdr:rowOff>
    </xdr:from>
    <xdr:to>
      <xdr:col>4</xdr:col>
      <xdr:colOff>0</xdr:colOff>
      <xdr:row>33</xdr:row>
      <xdr:rowOff>48916</xdr:rowOff>
    </xdr:to>
    <xdr:pic>
      <xdr:nvPicPr>
        <xdr:cNvPr id="24588" name="Picture 12"/>
        <xdr:cNvPicPr>
          <a:picLocks noChangeAspect="1" noChangeArrowheads="1"/>
        </xdr:cNvPicPr>
      </xdr:nvPicPr>
      <xdr:blipFill>
        <a:blip xmlns:r="http://schemas.openxmlformats.org/officeDocument/2006/relationships" r:embed="rId7" cstate="print"/>
        <a:srcRect/>
        <a:stretch>
          <a:fillRect/>
        </a:stretch>
      </xdr:blipFill>
      <xdr:spPr bwMode="auto">
        <a:xfrm>
          <a:off x="4248150" y="6772276"/>
          <a:ext cx="1400175" cy="706140"/>
        </a:xfrm>
        <a:prstGeom prst="rect">
          <a:avLst/>
        </a:prstGeom>
        <a:noFill/>
        <a:ln w="1">
          <a:noFill/>
          <a:miter lim="800000"/>
          <a:headEnd/>
          <a:tailEnd type="none" w="med" len="med"/>
        </a:ln>
        <a:effectLst/>
      </xdr:spPr>
    </xdr:pic>
    <xdr:clientData/>
  </xdr:twoCellAnchor>
  <xdr:twoCellAnchor editAs="oneCell">
    <xdr:from>
      <xdr:col>2</xdr:col>
      <xdr:colOff>35598</xdr:colOff>
      <xdr:row>34</xdr:row>
      <xdr:rowOff>19050</xdr:rowOff>
    </xdr:from>
    <xdr:to>
      <xdr:col>2</xdr:col>
      <xdr:colOff>1152525</xdr:colOff>
      <xdr:row>37</xdr:row>
      <xdr:rowOff>238125</xdr:rowOff>
    </xdr:to>
    <xdr:pic>
      <xdr:nvPicPr>
        <xdr:cNvPr id="24589" name="Picture 13"/>
        <xdr:cNvPicPr>
          <a:picLocks noChangeAspect="1" noChangeArrowheads="1"/>
        </xdr:cNvPicPr>
      </xdr:nvPicPr>
      <xdr:blipFill>
        <a:blip xmlns:r="http://schemas.openxmlformats.org/officeDocument/2006/relationships" r:embed="rId8" cstate="print"/>
        <a:srcRect/>
        <a:stretch>
          <a:fillRect/>
        </a:stretch>
      </xdr:blipFill>
      <xdr:spPr bwMode="auto">
        <a:xfrm>
          <a:off x="3197898" y="7696200"/>
          <a:ext cx="1116927" cy="962025"/>
        </a:xfrm>
        <a:prstGeom prst="rect">
          <a:avLst/>
        </a:prstGeom>
        <a:noFill/>
        <a:ln w="1">
          <a:noFill/>
          <a:miter lim="800000"/>
          <a:headEnd/>
          <a:tailEnd type="none" w="med" len="med"/>
        </a:ln>
        <a:effectLst/>
      </xdr:spPr>
    </xdr:pic>
    <xdr:clientData/>
  </xdr:twoCellAnchor>
  <xdr:twoCellAnchor editAs="oneCell">
    <xdr:from>
      <xdr:col>2</xdr:col>
      <xdr:colOff>1181101</xdr:colOff>
      <xdr:row>34</xdr:row>
      <xdr:rowOff>66675</xdr:rowOff>
    </xdr:from>
    <xdr:to>
      <xdr:col>3</xdr:col>
      <xdr:colOff>1270318</xdr:colOff>
      <xdr:row>37</xdr:row>
      <xdr:rowOff>152400</xdr:rowOff>
    </xdr:to>
    <xdr:pic>
      <xdr:nvPicPr>
        <xdr:cNvPr id="24590" name="Picture 14"/>
        <xdr:cNvPicPr>
          <a:picLocks noChangeAspect="1" noChangeArrowheads="1"/>
        </xdr:cNvPicPr>
      </xdr:nvPicPr>
      <xdr:blipFill>
        <a:blip xmlns:r="http://schemas.openxmlformats.org/officeDocument/2006/relationships" r:embed="rId9" cstate="print"/>
        <a:srcRect/>
        <a:stretch>
          <a:fillRect/>
        </a:stretch>
      </xdr:blipFill>
      <xdr:spPr bwMode="auto">
        <a:xfrm>
          <a:off x="4343401" y="7743825"/>
          <a:ext cx="1279842" cy="828675"/>
        </a:xfrm>
        <a:prstGeom prst="rect">
          <a:avLst/>
        </a:prstGeom>
        <a:noFill/>
        <a:ln w="1">
          <a:noFill/>
          <a:miter lim="800000"/>
          <a:headEnd/>
          <a:tailEnd type="none" w="med" len="med"/>
        </a:ln>
        <a:effectLst/>
      </xdr:spPr>
    </xdr:pic>
    <xdr:clientData/>
  </xdr:twoCellAnchor>
  <xdr:twoCellAnchor editAs="oneCell">
    <xdr:from>
      <xdr:col>2</xdr:col>
      <xdr:colOff>28575</xdr:colOff>
      <xdr:row>38</xdr:row>
      <xdr:rowOff>95250</xdr:rowOff>
    </xdr:from>
    <xdr:to>
      <xdr:col>3</xdr:col>
      <xdr:colOff>1250467</xdr:colOff>
      <xdr:row>42</xdr:row>
      <xdr:rowOff>168975</xdr:rowOff>
    </xdr:to>
    <xdr:pic>
      <xdr:nvPicPr>
        <xdr:cNvPr id="24591" name="Picture 15"/>
        <xdr:cNvPicPr>
          <a:picLocks noChangeAspect="1" noChangeArrowheads="1"/>
        </xdr:cNvPicPr>
      </xdr:nvPicPr>
      <xdr:blipFill>
        <a:blip xmlns:r="http://schemas.openxmlformats.org/officeDocument/2006/relationships" r:embed="rId10" cstate="print"/>
        <a:srcRect/>
        <a:stretch>
          <a:fillRect/>
        </a:stretch>
      </xdr:blipFill>
      <xdr:spPr bwMode="auto">
        <a:xfrm>
          <a:off x="3190875" y="8763000"/>
          <a:ext cx="2412517" cy="106432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2" name="五边形 11">
          <a:hlinkClick xmlns:r="http://schemas.openxmlformats.org/officeDocument/2006/relationships" r:id="rId11"/>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33</xdr:row>
      <xdr:rowOff>28575</xdr:rowOff>
    </xdr:from>
    <xdr:to>
      <xdr:col>3</xdr:col>
      <xdr:colOff>38100</xdr:colOff>
      <xdr:row>48</xdr:row>
      <xdr:rowOff>152400</xdr:rowOff>
    </xdr:to>
    <xdr:pic>
      <xdr:nvPicPr>
        <xdr:cNvPr id="12289" name="图片 15"/>
        <xdr:cNvPicPr>
          <a:picLocks noChangeAspect="1" noChangeArrowheads="1"/>
        </xdr:cNvPicPr>
      </xdr:nvPicPr>
      <xdr:blipFill>
        <a:blip xmlns:r="http://schemas.openxmlformats.org/officeDocument/2006/relationships" r:embed="rId1" cstate="print"/>
        <a:srcRect/>
        <a:stretch>
          <a:fillRect/>
        </a:stretch>
      </xdr:blipFill>
      <xdr:spPr bwMode="auto">
        <a:xfrm>
          <a:off x="0" y="12458700"/>
          <a:ext cx="3638550" cy="3838575"/>
        </a:xfrm>
        <a:prstGeom prst="rect">
          <a:avLst/>
        </a:prstGeom>
        <a:noFill/>
        <a:ln w="9525">
          <a:noFill/>
          <a:miter lim="800000"/>
          <a:headEnd/>
          <a:tailEnd/>
        </a:ln>
      </xdr:spPr>
    </xdr:pic>
    <xdr:clientData/>
  </xdr:twoCellAnchor>
  <xdr:twoCellAnchor>
    <xdr:from>
      <xdr:col>2</xdr:col>
      <xdr:colOff>657225</xdr:colOff>
      <xdr:row>33</xdr:row>
      <xdr:rowOff>0</xdr:rowOff>
    </xdr:from>
    <xdr:to>
      <xdr:col>6</xdr:col>
      <xdr:colOff>666750</xdr:colOff>
      <xdr:row>45</xdr:row>
      <xdr:rowOff>66675</xdr:rowOff>
    </xdr:to>
    <xdr:pic>
      <xdr:nvPicPr>
        <xdr:cNvPr id="12290" name="图片 16"/>
        <xdr:cNvPicPr>
          <a:picLocks noChangeAspect="1" noChangeArrowheads="1"/>
        </xdr:cNvPicPr>
      </xdr:nvPicPr>
      <xdr:blipFill>
        <a:blip xmlns:r="http://schemas.openxmlformats.org/officeDocument/2006/relationships" r:embed="rId2" cstate="print"/>
        <a:srcRect/>
        <a:stretch>
          <a:fillRect/>
        </a:stretch>
      </xdr:blipFill>
      <xdr:spPr bwMode="auto">
        <a:xfrm>
          <a:off x="3200400" y="8220075"/>
          <a:ext cx="3876675" cy="3038475"/>
        </a:xfrm>
        <a:prstGeom prst="rect">
          <a:avLst/>
        </a:prstGeom>
        <a:noFill/>
        <a:ln w="9525">
          <a:noFill/>
          <a:miter lim="800000"/>
          <a:headEnd/>
          <a:tailEnd/>
        </a:ln>
      </xdr:spPr>
    </xdr:pic>
    <xdr:clientData/>
  </xdr:twoCellAnchor>
  <xdr:twoCellAnchor editAs="oneCell">
    <xdr:from>
      <xdr:col>8</xdr:col>
      <xdr:colOff>9525</xdr:colOff>
      <xdr:row>1</xdr:row>
      <xdr:rowOff>0</xdr:rowOff>
    </xdr:from>
    <xdr:to>
      <xdr:col>11</xdr:col>
      <xdr:colOff>314325</xdr:colOff>
      <xdr:row>7</xdr:row>
      <xdr:rowOff>27167</xdr:rowOff>
    </xdr:to>
    <xdr:pic>
      <xdr:nvPicPr>
        <xdr:cNvPr id="1229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8143875" y="295275"/>
          <a:ext cx="2600325" cy="1513067"/>
        </a:xfrm>
        <a:prstGeom prst="rect">
          <a:avLst/>
        </a:prstGeom>
        <a:noFill/>
        <a:ln w="1">
          <a:noFill/>
          <a:miter lim="800000"/>
          <a:headEnd/>
          <a:tailEnd type="none" w="med" len="med"/>
        </a:ln>
        <a:effectLst/>
      </xdr:spPr>
    </xdr:pic>
    <xdr:clientData/>
  </xdr:twoCellAnchor>
  <xdr:twoCellAnchor editAs="oneCell">
    <xdr:from>
      <xdr:col>8</xdr:col>
      <xdr:colOff>19050</xdr:colOff>
      <xdr:row>7</xdr:row>
      <xdr:rowOff>0</xdr:rowOff>
    </xdr:from>
    <xdr:to>
      <xdr:col>14</xdr:col>
      <xdr:colOff>426520</xdr:colOff>
      <xdr:row>15</xdr:row>
      <xdr:rowOff>114300</xdr:rowOff>
    </xdr:to>
    <xdr:pic>
      <xdr:nvPicPr>
        <xdr:cNvPr id="12296" name="Picture 8"/>
        <xdr:cNvPicPr>
          <a:picLocks noChangeAspect="1" noChangeArrowheads="1"/>
        </xdr:cNvPicPr>
      </xdr:nvPicPr>
      <xdr:blipFill>
        <a:blip xmlns:r="http://schemas.openxmlformats.org/officeDocument/2006/relationships" r:embed="rId4" cstate="print"/>
        <a:srcRect/>
        <a:stretch>
          <a:fillRect/>
        </a:stretch>
      </xdr:blipFill>
      <xdr:spPr bwMode="auto">
        <a:xfrm>
          <a:off x="8153400" y="1781175"/>
          <a:ext cx="4474645" cy="2095500"/>
        </a:xfrm>
        <a:prstGeom prst="rect">
          <a:avLst/>
        </a:prstGeom>
        <a:noFill/>
        <a:ln w="1">
          <a:noFill/>
          <a:miter lim="800000"/>
          <a:headEnd/>
          <a:tailEnd type="none" w="med" len="med"/>
        </a:ln>
        <a:effectLst/>
      </xdr:spPr>
    </xdr:pic>
    <xdr:clientData/>
  </xdr:twoCellAnchor>
  <xdr:twoCellAnchor editAs="oneCell">
    <xdr:from>
      <xdr:col>7</xdr:col>
      <xdr:colOff>800100</xdr:colOff>
      <xdr:row>15</xdr:row>
      <xdr:rowOff>104775</xdr:rowOff>
    </xdr:from>
    <xdr:to>
      <xdr:col>12</xdr:col>
      <xdr:colOff>95250</xdr:colOff>
      <xdr:row>24</xdr:row>
      <xdr:rowOff>4614</xdr:rowOff>
    </xdr:to>
    <xdr:pic>
      <xdr:nvPicPr>
        <xdr:cNvPr id="12297" name="Picture 9"/>
        <xdr:cNvPicPr>
          <a:picLocks noChangeAspect="1" noChangeArrowheads="1"/>
        </xdr:cNvPicPr>
      </xdr:nvPicPr>
      <xdr:blipFill>
        <a:blip xmlns:r="http://schemas.openxmlformats.org/officeDocument/2006/relationships" r:embed="rId5" cstate="print"/>
        <a:srcRect/>
        <a:stretch>
          <a:fillRect/>
        </a:stretch>
      </xdr:blipFill>
      <xdr:spPr bwMode="auto">
        <a:xfrm>
          <a:off x="8124825" y="3867150"/>
          <a:ext cx="2981325" cy="2128689"/>
        </a:xfrm>
        <a:prstGeom prst="rect">
          <a:avLst/>
        </a:prstGeom>
        <a:noFill/>
        <a:ln w="1">
          <a:noFill/>
          <a:miter lim="800000"/>
          <a:headEnd/>
          <a:tailEnd type="none" w="med" len="med"/>
        </a:ln>
        <a:effectLst/>
      </xdr:spPr>
    </xdr:pic>
    <xdr:clientData/>
  </xdr:twoCellAnchor>
  <xdr:twoCellAnchor editAs="oneCell">
    <xdr:from>
      <xdr:col>11</xdr:col>
      <xdr:colOff>419100</xdr:colOff>
      <xdr:row>0</xdr:row>
      <xdr:rowOff>0</xdr:rowOff>
    </xdr:from>
    <xdr:to>
      <xdr:col>14</xdr:col>
      <xdr:colOff>142875</xdr:colOff>
      <xdr:row>6</xdr:row>
      <xdr:rowOff>183178</xdr:rowOff>
    </xdr:to>
    <xdr:pic>
      <xdr:nvPicPr>
        <xdr:cNvPr id="12298" name="Picture 10"/>
        <xdr:cNvPicPr>
          <a:picLocks noChangeAspect="1" noChangeArrowheads="1"/>
        </xdr:cNvPicPr>
      </xdr:nvPicPr>
      <xdr:blipFill>
        <a:blip xmlns:r="http://schemas.openxmlformats.org/officeDocument/2006/relationships" r:embed="rId6" cstate="print"/>
        <a:srcRect/>
        <a:stretch>
          <a:fillRect/>
        </a:stretch>
      </xdr:blipFill>
      <xdr:spPr bwMode="auto">
        <a:xfrm>
          <a:off x="10848975" y="0"/>
          <a:ext cx="1495425" cy="1697653"/>
        </a:xfrm>
        <a:prstGeom prst="rect">
          <a:avLst/>
        </a:prstGeom>
        <a:noFill/>
        <a:ln w="1">
          <a:noFill/>
          <a:miter lim="800000"/>
          <a:headEnd/>
          <a:tailEnd type="none" w="med" len="med"/>
        </a:ln>
        <a:effectLst/>
      </xdr:spPr>
    </xdr:pic>
    <xdr:clientData/>
  </xdr:twoCellAnchor>
  <xdr:twoCellAnchor editAs="oneCell">
    <xdr:from>
      <xdr:col>0</xdr:col>
      <xdr:colOff>0</xdr:colOff>
      <xdr:row>50</xdr:row>
      <xdr:rowOff>0</xdr:rowOff>
    </xdr:from>
    <xdr:to>
      <xdr:col>2</xdr:col>
      <xdr:colOff>400050</xdr:colOff>
      <xdr:row>52</xdr:row>
      <xdr:rowOff>209550</xdr:rowOff>
    </xdr:to>
    <xdr:pic>
      <xdr:nvPicPr>
        <xdr:cNvPr id="12301" name="Picture 13"/>
        <xdr:cNvPicPr>
          <a:picLocks noChangeAspect="1" noChangeArrowheads="1"/>
        </xdr:cNvPicPr>
      </xdr:nvPicPr>
      <xdr:blipFill>
        <a:blip xmlns:r="http://schemas.openxmlformats.org/officeDocument/2006/relationships" r:embed="rId7" cstate="print"/>
        <a:srcRect/>
        <a:stretch>
          <a:fillRect/>
        </a:stretch>
      </xdr:blipFill>
      <xdr:spPr bwMode="auto">
        <a:xfrm>
          <a:off x="0" y="12430125"/>
          <a:ext cx="2943225" cy="704850"/>
        </a:xfrm>
        <a:prstGeom prst="rect">
          <a:avLst/>
        </a:prstGeom>
        <a:noFill/>
        <a:ln w="1">
          <a:noFill/>
          <a:miter lim="800000"/>
          <a:headEnd/>
          <a:tailEnd type="none" w="med" len="med"/>
        </a:ln>
        <a:effectLst/>
      </xdr:spPr>
    </xdr:pic>
    <xdr:clientData/>
  </xdr:twoCellAnchor>
  <xdr:twoCellAnchor editAs="oneCell">
    <xdr:from>
      <xdr:col>0</xdr:col>
      <xdr:colOff>0</xdr:colOff>
      <xdr:row>53</xdr:row>
      <xdr:rowOff>0</xdr:rowOff>
    </xdr:from>
    <xdr:to>
      <xdr:col>1</xdr:col>
      <xdr:colOff>1419225</xdr:colOff>
      <xdr:row>55</xdr:row>
      <xdr:rowOff>228600</xdr:rowOff>
    </xdr:to>
    <xdr:pic>
      <xdr:nvPicPr>
        <xdr:cNvPr id="12302" name="Picture 14"/>
        <xdr:cNvPicPr>
          <a:picLocks noChangeAspect="1" noChangeArrowheads="1"/>
        </xdr:cNvPicPr>
      </xdr:nvPicPr>
      <xdr:blipFill>
        <a:blip xmlns:r="http://schemas.openxmlformats.org/officeDocument/2006/relationships" r:embed="rId8" cstate="print"/>
        <a:srcRect/>
        <a:stretch>
          <a:fillRect/>
        </a:stretch>
      </xdr:blipFill>
      <xdr:spPr bwMode="auto">
        <a:xfrm>
          <a:off x="0" y="13173075"/>
          <a:ext cx="2438400" cy="723900"/>
        </a:xfrm>
        <a:prstGeom prst="rect">
          <a:avLst/>
        </a:prstGeom>
        <a:noFill/>
        <a:ln w="1">
          <a:noFill/>
          <a:miter lim="800000"/>
          <a:headEnd/>
          <a:tailEnd type="none" w="med" len="med"/>
        </a:ln>
        <a:effectLst/>
      </xdr:spPr>
    </xdr:pic>
    <xdr:clientData/>
  </xdr:twoCellAnchor>
  <xdr:twoCellAnchor>
    <xdr:from>
      <xdr:col>1</xdr:col>
      <xdr:colOff>838200</xdr:colOff>
      <xdr:row>50</xdr:row>
      <xdr:rowOff>28575</xdr:rowOff>
    </xdr:from>
    <xdr:to>
      <xdr:col>1</xdr:col>
      <xdr:colOff>1133475</xdr:colOff>
      <xdr:row>51</xdr:row>
      <xdr:rowOff>66675</xdr:rowOff>
    </xdr:to>
    <xdr:sp macro="" textlink="">
      <xdr:nvSpPr>
        <xdr:cNvPr id="36" name="矩形 35"/>
        <xdr:cNvSpPr/>
      </xdr:nvSpPr>
      <xdr:spPr>
        <a:xfrm>
          <a:off x="1857375" y="12458700"/>
          <a:ext cx="295275" cy="285750"/>
        </a:xfrm>
        <a:prstGeom prst="rect">
          <a:avLst/>
        </a:prstGeom>
        <a:noFill/>
        <a:ln>
          <a:solidFill>
            <a:srgbClr val="FF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xdr:from>
      <xdr:col>0</xdr:col>
      <xdr:colOff>247650</xdr:colOff>
      <xdr:row>52</xdr:row>
      <xdr:rowOff>38100</xdr:rowOff>
    </xdr:from>
    <xdr:to>
      <xdr:col>1</xdr:col>
      <xdr:colOff>57150</xdr:colOff>
      <xdr:row>53</xdr:row>
      <xdr:rowOff>171451</xdr:rowOff>
    </xdr:to>
    <xdr:cxnSp macro="">
      <xdr:nvCxnSpPr>
        <xdr:cNvPr id="39" name="直接箭头连接符 38"/>
        <xdr:cNvCxnSpPr/>
      </xdr:nvCxnSpPr>
      <xdr:spPr>
        <a:xfrm flipH="1" flipV="1">
          <a:off x="247650" y="12963525"/>
          <a:ext cx="828675" cy="381001"/>
        </a:xfrm>
        <a:prstGeom prst="straightConnector1">
          <a:avLst/>
        </a:prstGeom>
        <a:ln w="28575">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9525</xdr:colOff>
      <xdr:row>0</xdr:row>
      <xdr:rowOff>19050</xdr:rowOff>
    </xdr:from>
    <xdr:to>
      <xdr:col>0</xdr:col>
      <xdr:colOff>819151</xdr:colOff>
      <xdr:row>0</xdr:row>
      <xdr:rowOff>257175</xdr:rowOff>
    </xdr:to>
    <xdr:sp macro="" textlink="">
      <xdr:nvSpPr>
        <xdr:cNvPr id="12" name="五边形 11">
          <a:hlinkClick xmlns:r="http://schemas.openxmlformats.org/officeDocument/2006/relationships" r:id="rId9"/>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xdr:colOff>
      <xdr:row>54</xdr:row>
      <xdr:rowOff>9525</xdr:rowOff>
    </xdr:from>
    <xdr:to>
      <xdr:col>1</xdr:col>
      <xdr:colOff>1439072</xdr:colOff>
      <xdr:row>63</xdr:row>
      <xdr:rowOff>76200</xdr:rowOff>
    </xdr:to>
    <xdr:pic>
      <xdr:nvPicPr>
        <xdr:cNvPr id="13317"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 y="10458450"/>
          <a:ext cx="2458246" cy="2295525"/>
        </a:xfrm>
        <a:prstGeom prst="rect">
          <a:avLst/>
        </a:prstGeom>
        <a:noFill/>
        <a:ln w="1">
          <a:noFill/>
          <a:miter lim="800000"/>
          <a:headEnd/>
          <a:tailEnd type="none" w="med" len="med"/>
        </a:ln>
        <a:effectLst/>
      </xdr:spPr>
    </xdr:pic>
    <xdr:clientData/>
  </xdr:twoCellAnchor>
  <xdr:twoCellAnchor editAs="oneCell">
    <xdr:from>
      <xdr:col>1</xdr:col>
      <xdr:colOff>1390651</xdr:colOff>
      <xdr:row>54</xdr:row>
      <xdr:rowOff>19051</xdr:rowOff>
    </xdr:from>
    <xdr:to>
      <xdr:col>4</xdr:col>
      <xdr:colOff>295276</xdr:colOff>
      <xdr:row>61</xdr:row>
      <xdr:rowOff>120005</xdr:rowOff>
    </xdr:to>
    <xdr:pic>
      <xdr:nvPicPr>
        <xdr:cNvPr id="13318" name="Picture 6"/>
        <xdr:cNvPicPr>
          <a:picLocks noChangeAspect="1" noChangeArrowheads="1"/>
        </xdr:cNvPicPr>
      </xdr:nvPicPr>
      <xdr:blipFill>
        <a:blip xmlns:r="http://schemas.openxmlformats.org/officeDocument/2006/relationships" r:embed="rId2" cstate="print"/>
        <a:srcRect/>
        <a:stretch>
          <a:fillRect/>
        </a:stretch>
      </xdr:blipFill>
      <xdr:spPr bwMode="auto">
        <a:xfrm>
          <a:off x="2409826" y="10467976"/>
          <a:ext cx="2819400" cy="1834504"/>
        </a:xfrm>
        <a:prstGeom prst="rect">
          <a:avLst/>
        </a:prstGeom>
        <a:noFill/>
        <a:ln w="1">
          <a:noFill/>
          <a:miter lim="800000"/>
          <a:headEnd/>
          <a:tailEnd type="none" w="med" len="med"/>
        </a:ln>
        <a:effectLst/>
      </xdr:spPr>
    </xdr:pic>
    <xdr:clientData/>
  </xdr:twoCellAnchor>
  <xdr:twoCellAnchor editAs="oneCell">
    <xdr:from>
      <xdr:col>0</xdr:col>
      <xdr:colOff>76200</xdr:colOff>
      <xdr:row>65</xdr:row>
      <xdr:rowOff>47625</xdr:rowOff>
    </xdr:from>
    <xdr:to>
      <xdr:col>2</xdr:col>
      <xdr:colOff>466725</xdr:colOff>
      <xdr:row>68</xdr:row>
      <xdr:rowOff>76200</xdr:rowOff>
    </xdr:to>
    <xdr:pic>
      <xdr:nvPicPr>
        <xdr:cNvPr id="13319"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76200" y="14706600"/>
          <a:ext cx="2933700" cy="771525"/>
        </a:xfrm>
        <a:prstGeom prst="rect">
          <a:avLst/>
        </a:prstGeom>
        <a:noFill/>
        <a:ln w="1">
          <a:noFill/>
          <a:miter lim="800000"/>
          <a:headEnd/>
          <a:tailEnd type="none" w="med" len="med"/>
        </a:ln>
        <a:effectLst/>
      </xdr:spPr>
    </xdr:pic>
    <xdr:clientData/>
  </xdr:twoCellAnchor>
  <xdr:twoCellAnchor editAs="oneCell">
    <xdr:from>
      <xdr:col>5</xdr:col>
      <xdr:colOff>9525</xdr:colOff>
      <xdr:row>51</xdr:row>
      <xdr:rowOff>9525</xdr:rowOff>
    </xdr:from>
    <xdr:to>
      <xdr:col>7</xdr:col>
      <xdr:colOff>57150</xdr:colOff>
      <xdr:row>66</xdr:row>
      <xdr:rowOff>209550</xdr:rowOff>
    </xdr:to>
    <xdr:pic>
      <xdr:nvPicPr>
        <xdr:cNvPr id="13321" name="Picture 9"/>
        <xdr:cNvPicPr>
          <a:picLocks noChangeAspect="1" noChangeArrowheads="1"/>
        </xdr:cNvPicPr>
      </xdr:nvPicPr>
      <xdr:blipFill>
        <a:blip xmlns:r="http://schemas.openxmlformats.org/officeDocument/2006/relationships" r:embed="rId4" cstate="print"/>
        <a:srcRect/>
        <a:stretch>
          <a:fillRect/>
        </a:stretch>
      </xdr:blipFill>
      <xdr:spPr bwMode="auto">
        <a:xfrm>
          <a:off x="5324475" y="7981950"/>
          <a:ext cx="2152650" cy="3914775"/>
        </a:xfrm>
        <a:prstGeom prst="rect">
          <a:avLst/>
        </a:prstGeom>
        <a:noFill/>
        <a:ln w="1">
          <a:noFill/>
          <a:miter lim="800000"/>
          <a:headEnd/>
          <a:tailEnd type="none" w="med" len="med"/>
        </a:ln>
        <a:effectLst/>
      </xdr:spPr>
    </xdr:pic>
    <xdr:clientData/>
  </xdr:twoCellAnchor>
  <xdr:twoCellAnchor editAs="oneCell">
    <xdr:from>
      <xdr:col>7</xdr:col>
      <xdr:colOff>123825</xdr:colOff>
      <xdr:row>51</xdr:row>
      <xdr:rowOff>9525</xdr:rowOff>
    </xdr:from>
    <xdr:to>
      <xdr:col>14</xdr:col>
      <xdr:colOff>409575</xdr:colOff>
      <xdr:row>66</xdr:row>
      <xdr:rowOff>209550</xdr:rowOff>
    </xdr:to>
    <xdr:pic>
      <xdr:nvPicPr>
        <xdr:cNvPr id="13322" name="Picture 10"/>
        <xdr:cNvPicPr>
          <a:picLocks noChangeAspect="1" noChangeArrowheads="1"/>
        </xdr:cNvPicPr>
      </xdr:nvPicPr>
      <xdr:blipFill>
        <a:blip xmlns:r="http://schemas.openxmlformats.org/officeDocument/2006/relationships" r:embed="rId5" cstate="print"/>
        <a:srcRect/>
        <a:stretch>
          <a:fillRect/>
        </a:stretch>
      </xdr:blipFill>
      <xdr:spPr bwMode="auto">
        <a:xfrm>
          <a:off x="7543800" y="7981950"/>
          <a:ext cx="5162550" cy="3914775"/>
        </a:xfrm>
        <a:prstGeom prst="rect">
          <a:avLst/>
        </a:prstGeom>
        <a:noFill/>
        <a:ln w="1">
          <a:noFill/>
          <a:miter lim="800000"/>
          <a:headEnd/>
          <a:tailEnd type="none" w="med" len="med"/>
        </a:ln>
        <a:effectLst/>
      </xdr:spPr>
    </xdr:pic>
    <xdr:clientData/>
  </xdr:twoCellAnchor>
  <xdr:twoCellAnchor editAs="oneCell">
    <xdr:from>
      <xdr:col>0</xdr:col>
      <xdr:colOff>0</xdr:colOff>
      <xdr:row>79</xdr:row>
      <xdr:rowOff>95250</xdr:rowOff>
    </xdr:from>
    <xdr:to>
      <xdr:col>3</xdr:col>
      <xdr:colOff>609600</xdr:colOff>
      <xdr:row>83</xdr:row>
      <xdr:rowOff>180975</xdr:rowOff>
    </xdr:to>
    <xdr:pic>
      <xdr:nvPicPr>
        <xdr:cNvPr id="13326" name="Picture 14"/>
        <xdr:cNvPicPr>
          <a:picLocks noChangeAspect="1" noChangeArrowheads="1"/>
        </xdr:cNvPicPr>
      </xdr:nvPicPr>
      <xdr:blipFill>
        <a:blip xmlns:r="http://schemas.openxmlformats.org/officeDocument/2006/relationships" r:embed="rId6" cstate="print"/>
        <a:srcRect/>
        <a:stretch>
          <a:fillRect/>
        </a:stretch>
      </xdr:blipFill>
      <xdr:spPr bwMode="auto">
        <a:xfrm>
          <a:off x="0" y="16735425"/>
          <a:ext cx="4210050" cy="1076325"/>
        </a:xfrm>
        <a:prstGeom prst="rect">
          <a:avLst/>
        </a:prstGeom>
        <a:noFill/>
        <a:ln w="1">
          <a:noFill/>
          <a:miter lim="800000"/>
          <a:headEnd/>
          <a:tailEnd type="none" w="med" len="med"/>
        </a:ln>
        <a:effectLst/>
      </xdr:spPr>
    </xdr:pic>
    <xdr:clientData/>
  </xdr:twoCellAnchor>
  <xdr:twoCellAnchor editAs="oneCell">
    <xdr:from>
      <xdr:col>0</xdr:col>
      <xdr:colOff>0</xdr:colOff>
      <xdr:row>74</xdr:row>
      <xdr:rowOff>133350</xdr:rowOff>
    </xdr:from>
    <xdr:to>
      <xdr:col>3</xdr:col>
      <xdr:colOff>885825</xdr:colOff>
      <xdr:row>79</xdr:row>
      <xdr:rowOff>28575</xdr:rowOff>
    </xdr:to>
    <xdr:pic>
      <xdr:nvPicPr>
        <xdr:cNvPr id="13327" name="Picture 15"/>
        <xdr:cNvPicPr>
          <a:picLocks noChangeAspect="1" noChangeArrowheads="1"/>
        </xdr:cNvPicPr>
      </xdr:nvPicPr>
      <xdr:blipFill>
        <a:blip xmlns:r="http://schemas.openxmlformats.org/officeDocument/2006/relationships" r:embed="rId7" cstate="print"/>
        <a:srcRect/>
        <a:stretch>
          <a:fillRect/>
        </a:stretch>
      </xdr:blipFill>
      <xdr:spPr bwMode="auto">
        <a:xfrm>
          <a:off x="0" y="15535275"/>
          <a:ext cx="4486275" cy="1133475"/>
        </a:xfrm>
        <a:prstGeom prst="rect">
          <a:avLst/>
        </a:prstGeom>
        <a:noFill/>
        <a:ln w="1">
          <a:noFill/>
          <a:miter lim="800000"/>
          <a:headEnd/>
          <a:tailEnd type="none" w="med" len="med"/>
        </a:ln>
        <a:effectLst/>
      </xdr:spPr>
    </xdr:pic>
    <xdr:clientData/>
  </xdr:twoCellAnchor>
  <xdr:twoCellAnchor editAs="oneCell">
    <xdr:from>
      <xdr:col>0</xdr:col>
      <xdr:colOff>19050</xdr:colOff>
      <xdr:row>70</xdr:row>
      <xdr:rowOff>0</xdr:rowOff>
    </xdr:from>
    <xdr:to>
      <xdr:col>3</xdr:col>
      <xdr:colOff>828675</xdr:colOff>
      <xdr:row>74</xdr:row>
      <xdr:rowOff>161925</xdr:rowOff>
    </xdr:to>
    <xdr:pic>
      <xdr:nvPicPr>
        <xdr:cNvPr id="13328" name="Picture 16"/>
        <xdr:cNvPicPr>
          <a:picLocks noChangeAspect="1" noChangeArrowheads="1"/>
        </xdr:cNvPicPr>
      </xdr:nvPicPr>
      <xdr:blipFill>
        <a:blip xmlns:r="http://schemas.openxmlformats.org/officeDocument/2006/relationships" r:embed="rId8" cstate="print"/>
        <a:srcRect/>
        <a:stretch>
          <a:fillRect/>
        </a:stretch>
      </xdr:blipFill>
      <xdr:spPr bwMode="auto">
        <a:xfrm>
          <a:off x="19050" y="14411325"/>
          <a:ext cx="4410075" cy="1152525"/>
        </a:xfrm>
        <a:prstGeom prst="rect">
          <a:avLst/>
        </a:prstGeom>
        <a:noFill/>
        <a:ln w="1">
          <a:noFill/>
          <a:miter lim="800000"/>
          <a:headEnd/>
          <a:tailEnd type="none" w="med" len="med"/>
        </a:ln>
        <a:effectLst/>
      </xdr:spPr>
    </xdr:pic>
    <xdr:clientData/>
  </xdr:twoCellAnchor>
  <xdr:twoCellAnchor editAs="oneCell">
    <xdr:from>
      <xdr:col>8</xdr:col>
      <xdr:colOff>400050</xdr:colOff>
      <xdr:row>1</xdr:row>
      <xdr:rowOff>237298</xdr:rowOff>
    </xdr:from>
    <xdr:to>
      <xdr:col>12</xdr:col>
      <xdr:colOff>523876</xdr:colOff>
      <xdr:row>9</xdr:row>
      <xdr:rowOff>79243</xdr:rowOff>
    </xdr:to>
    <xdr:pic>
      <xdr:nvPicPr>
        <xdr:cNvPr id="13329" name="Picture 17"/>
        <xdr:cNvPicPr>
          <a:picLocks noChangeAspect="1" noChangeArrowheads="1"/>
        </xdr:cNvPicPr>
      </xdr:nvPicPr>
      <xdr:blipFill>
        <a:blip xmlns:r="http://schemas.openxmlformats.org/officeDocument/2006/relationships" r:embed="rId9" cstate="print"/>
        <a:srcRect/>
        <a:stretch>
          <a:fillRect/>
        </a:stretch>
      </xdr:blipFill>
      <xdr:spPr bwMode="auto">
        <a:xfrm>
          <a:off x="8629650" y="532573"/>
          <a:ext cx="3000376" cy="1823145"/>
        </a:xfrm>
        <a:prstGeom prst="rect">
          <a:avLst/>
        </a:prstGeom>
        <a:noFill/>
        <a:ln w="1">
          <a:noFill/>
          <a:miter lim="800000"/>
          <a:headEnd/>
          <a:tailEnd type="none" w="med" len="med"/>
        </a:ln>
        <a:effectLst/>
      </xdr:spPr>
    </xdr:pic>
    <xdr:clientData/>
  </xdr:twoCellAnchor>
  <xdr:twoCellAnchor editAs="oneCell">
    <xdr:from>
      <xdr:col>5</xdr:col>
      <xdr:colOff>0</xdr:colOff>
      <xdr:row>18</xdr:row>
      <xdr:rowOff>9525</xdr:rowOff>
    </xdr:from>
    <xdr:to>
      <xdr:col>14</xdr:col>
      <xdr:colOff>0</xdr:colOff>
      <xdr:row>33</xdr:row>
      <xdr:rowOff>104775</xdr:rowOff>
    </xdr:to>
    <xdr:pic>
      <xdr:nvPicPr>
        <xdr:cNvPr id="27" name="内容占位符 3"/>
        <xdr:cNvPicPr>
          <a:picLocks noGrp="1" noChangeAspect="1" noChangeArrowheads="1"/>
        </xdr:cNvPicPr>
      </xdr:nvPicPr>
      <xdr:blipFill>
        <a:blip xmlns:r="http://schemas.openxmlformats.org/officeDocument/2006/relationships" r:embed="rId10" cstate="print"/>
        <a:srcRect/>
        <a:stretch>
          <a:fillRect/>
        </a:stretch>
      </xdr:blipFill>
      <xdr:spPr bwMode="auto">
        <a:xfrm>
          <a:off x="5314950" y="4514850"/>
          <a:ext cx="6981825" cy="3810000"/>
        </a:xfrm>
        <a:prstGeom prst="rect">
          <a:avLst/>
        </a:prstGeom>
        <a:noFill/>
        <a:ln w="9525">
          <a:noFill/>
          <a:miter lim="800000"/>
          <a:headEnd/>
          <a:tailEnd/>
        </a:ln>
      </xdr:spPr>
    </xdr:pic>
    <xdr:clientData/>
  </xdr:twoCellAnchor>
  <xdr:twoCellAnchor editAs="oneCell">
    <xdr:from>
      <xdr:col>5</xdr:col>
      <xdr:colOff>9525</xdr:colOff>
      <xdr:row>33</xdr:row>
      <xdr:rowOff>95250</xdr:rowOff>
    </xdr:from>
    <xdr:to>
      <xdr:col>14</xdr:col>
      <xdr:colOff>0</xdr:colOff>
      <xdr:row>49</xdr:row>
      <xdr:rowOff>104775</xdr:rowOff>
    </xdr:to>
    <xdr:pic>
      <xdr:nvPicPr>
        <xdr:cNvPr id="28" name="图片 27"/>
        <xdr:cNvPicPr>
          <a:picLocks noChangeAspect="1" noChangeArrowheads="1"/>
        </xdr:cNvPicPr>
      </xdr:nvPicPr>
      <xdr:blipFill>
        <a:blip xmlns:r="http://schemas.openxmlformats.org/officeDocument/2006/relationships" r:embed="rId11" cstate="print"/>
        <a:srcRect/>
        <a:stretch>
          <a:fillRect/>
        </a:stretch>
      </xdr:blipFill>
      <xdr:spPr bwMode="auto">
        <a:xfrm>
          <a:off x="5324475" y="8315325"/>
          <a:ext cx="6972300" cy="3971925"/>
        </a:xfrm>
        <a:prstGeom prst="rect">
          <a:avLst/>
        </a:prstGeom>
        <a:noFill/>
        <a:ln w="9525">
          <a:noFill/>
          <a:miter lim="800000"/>
          <a:headEnd/>
          <a:tailEnd/>
        </a:ln>
      </xdr:spPr>
    </xdr:pic>
    <xdr:clientData/>
  </xdr:twoCellAnchor>
  <xdr:twoCellAnchor editAs="oneCell">
    <xdr:from>
      <xdr:col>8</xdr:col>
      <xdr:colOff>429536</xdr:colOff>
      <xdr:row>11</xdr:row>
      <xdr:rowOff>19051</xdr:rowOff>
    </xdr:from>
    <xdr:to>
      <xdr:col>12</xdr:col>
      <xdr:colOff>333375</xdr:colOff>
      <xdr:row>17</xdr:row>
      <xdr:rowOff>150993</xdr:rowOff>
    </xdr:to>
    <xdr:pic>
      <xdr:nvPicPr>
        <xdr:cNvPr id="29" name="Picture 7"/>
        <xdr:cNvPicPr>
          <a:picLocks noChangeAspect="1" noChangeArrowheads="1"/>
        </xdr:cNvPicPr>
      </xdr:nvPicPr>
      <xdr:blipFill>
        <a:blip xmlns:r="http://schemas.openxmlformats.org/officeDocument/2006/relationships" r:embed="rId12" cstate="print"/>
        <a:srcRect/>
        <a:stretch>
          <a:fillRect/>
        </a:stretch>
      </xdr:blipFill>
      <xdr:spPr bwMode="auto">
        <a:xfrm>
          <a:off x="8659136" y="2790826"/>
          <a:ext cx="2780389" cy="1617842"/>
        </a:xfrm>
        <a:prstGeom prst="rect">
          <a:avLst/>
        </a:prstGeom>
        <a:noFill/>
        <a:ln w="1">
          <a:noFill/>
          <a:miter lim="800000"/>
          <a:headEnd/>
          <a:tailEnd type="none" w="med" len="med"/>
        </a:ln>
        <a:effectLst/>
      </xdr:spPr>
    </xdr:pic>
    <xdr:clientData/>
  </xdr:twoCellAnchor>
  <xdr:twoCellAnchor editAs="oneCell">
    <xdr:from>
      <xdr:col>12</xdr:col>
      <xdr:colOff>333375</xdr:colOff>
      <xdr:row>10</xdr:row>
      <xdr:rowOff>161925</xdr:rowOff>
    </xdr:from>
    <xdr:to>
      <xdr:col>14</xdr:col>
      <xdr:colOff>638175</xdr:colOff>
      <xdr:row>17</xdr:row>
      <xdr:rowOff>202228</xdr:rowOff>
    </xdr:to>
    <xdr:pic>
      <xdr:nvPicPr>
        <xdr:cNvPr id="30" name="Picture 10"/>
        <xdr:cNvPicPr>
          <a:picLocks noChangeAspect="1" noChangeArrowheads="1"/>
        </xdr:cNvPicPr>
      </xdr:nvPicPr>
      <xdr:blipFill>
        <a:blip xmlns:r="http://schemas.openxmlformats.org/officeDocument/2006/relationships" r:embed="rId13" cstate="print"/>
        <a:srcRect/>
        <a:stretch>
          <a:fillRect/>
        </a:stretch>
      </xdr:blipFill>
      <xdr:spPr bwMode="auto">
        <a:xfrm>
          <a:off x="11439525" y="2686050"/>
          <a:ext cx="1495425" cy="1773853"/>
        </a:xfrm>
        <a:prstGeom prst="rect">
          <a:avLst/>
        </a:prstGeom>
        <a:noFill/>
        <a:ln w="1">
          <a:noFill/>
          <a:miter lim="800000"/>
          <a:headEnd/>
          <a:tailEnd type="none" w="med" len="med"/>
        </a:ln>
        <a:effectLst/>
      </xdr:spPr>
    </xdr:pic>
    <xdr:clientData/>
  </xdr:twoCellAnchor>
  <xdr:twoCellAnchor editAs="oneCell">
    <xdr:from>
      <xdr:col>15</xdr:col>
      <xdr:colOff>0</xdr:colOff>
      <xdr:row>11</xdr:row>
      <xdr:rowOff>0</xdr:rowOff>
    </xdr:from>
    <xdr:to>
      <xdr:col>20</xdr:col>
      <xdr:colOff>426520</xdr:colOff>
      <xdr:row>19</xdr:row>
      <xdr:rowOff>114300</xdr:rowOff>
    </xdr:to>
    <xdr:pic>
      <xdr:nvPicPr>
        <xdr:cNvPr id="31" name="Picture 8"/>
        <xdr:cNvPicPr>
          <a:picLocks noChangeAspect="1" noChangeArrowheads="1"/>
        </xdr:cNvPicPr>
      </xdr:nvPicPr>
      <xdr:blipFill>
        <a:blip xmlns:r="http://schemas.openxmlformats.org/officeDocument/2006/relationships" r:embed="rId14" cstate="print"/>
        <a:srcRect/>
        <a:stretch>
          <a:fillRect/>
        </a:stretch>
      </xdr:blipFill>
      <xdr:spPr bwMode="auto">
        <a:xfrm>
          <a:off x="12944475" y="2771775"/>
          <a:ext cx="4474645" cy="2095500"/>
        </a:xfrm>
        <a:prstGeom prst="rect">
          <a:avLst/>
        </a:prstGeom>
        <a:noFill/>
        <a:ln w="1">
          <a:noFill/>
          <a:miter lim="800000"/>
          <a:headEnd/>
          <a:tailEnd type="none" w="med" len="med"/>
        </a:ln>
        <a:effectLst/>
      </xdr:spPr>
    </xdr:pic>
    <xdr:clientData/>
  </xdr:twoCellAnchor>
  <xdr:twoCellAnchor editAs="oneCell">
    <xdr:from>
      <xdr:col>20</xdr:col>
      <xdr:colOff>438150</xdr:colOff>
      <xdr:row>11</xdr:row>
      <xdr:rowOff>0</xdr:rowOff>
    </xdr:from>
    <xdr:to>
      <xdr:col>25</xdr:col>
      <xdr:colOff>133350</xdr:colOff>
      <xdr:row>19</xdr:row>
      <xdr:rowOff>147489</xdr:rowOff>
    </xdr:to>
    <xdr:pic>
      <xdr:nvPicPr>
        <xdr:cNvPr id="32" name="Picture 9"/>
        <xdr:cNvPicPr>
          <a:picLocks noChangeAspect="1" noChangeArrowheads="1"/>
        </xdr:cNvPicPr>
      </xdr:nvPicPr>
      <xdr:blipFill>
        <a:blip xmlns:r="http://schemas.openxmlformats.org/officeDocument/2006/relationships" r:embed="rId15" cstate="print"/>
        <a:srcRect/>
        <a:stretch>
          <a:fillRect/>
        </a:stretch>
      </xdr:blipFill>
      <xdr:spPr bwMode="auto">
        <a:xfrm>
          <a:off x="17430750" y="2771775"/>
          <a:ext cx="2981325" cy="2128689"/>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7" name="五边形 16">
          <a:hlinkClick xmlns:r="http://schemas.openxmlformats.org/officeDocument/2006/relationships" r:id="rId16"/>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xdr:colOff>
      <xdr:row>47</xdr:row>
      <xdr:rowOff>9525</xdr:rowOff>
    </xdr:from>
    <xdr:to>
      <xdr:col>1</xdr:col>
      <xdr:colOff>1439072</xdr:colOff>
      <xdr:row>56</xdr:row>
      <xdr:rowOff>76200</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 y="13430250"/>
          <a:ext cx="2458246" cy="2295525"/>
        </a:xfrm>
        <a:prstGeom prst="rect">
          <a:avLst/>
        </a:prstGeom>
        <a:noFill/>
        <a:ln w="1">
          <a:noFill/>
          <a:miter lim="800000"/>
          <a:headEnd/>
          <a:tailEnd type="none" w="med" len="med"/>
        </a:ln>
        <a:effectLst/>
      </xdr:spPr>
    </xdr:pic>
    <xdr:clientData/>
  </xdr:twoCellAnchor>
  <xdr:twoCellAnchor editAs="oneCell">
    <xdr:from>
      <xdr:col>1</xdr:col>
      <xdr:colOff>1390651</xdr:colOff>
      <xdr:row>47</xdr:row>
      <xdr:rowOff>19051</xdr:rowOff>
    </xdr:from>
    <xdr:to>
      <xdr:col>4</xdr:col>
      <xdr:colOff>295276</xdr:colOff>
      <xdr:row>54</xdr:row>
      <xdr:rowOff>120005</xdr:rowOff>
    </xdr:to>
    <xdr:pic>
      <xdr:nvPicPr>
        <xdr:cNvPr id="3" name="Picture 6"/>
        <xdr:cNvPicPr>
          <a:picLocks noChangeAspect="1" noChangeArrowheads="1"/>
        </xdr:cNvPicPr>
      </xdr:nvPicPr>
      <xdr:blipFill>
        <a:blip xmlns:r="http://schemas.openxmlformats.org/officeDocument/2006/relationships" r:embed="rId2" cstate="print"/>
        <a:srcRect/>
        <a:stretch>
          <a:fillRect/>
        </a:stretch>
      </xdr:blipFill>
      <xdr:spPr bwMode="auto">
        <a:xfrm>
          <a:off x="2409826" y="13439776"/>
          <a:ext cx="2819400" cy="1834504"/>
        </a:xfrm>
        <a:prstGeom prst="rect">
          <a:avLst/>
        </a:prstGeom>
        <a:noFill/>
        <a:ln w="1">
          <a:noFill/>
          <a:miter lim="800000"/>
          <a:headEnd/>
          <a:tailEnd type="none" w="med" len="med"/>
        </a:ln>
        <a:effectLst/>
      </xdr:spPr>
    </xdr:pic>
    <xdr:clientData/>
  </xdr:twoCellAnchor>
  <xdr:twoCellAnchor editAs="oneCell">
    <xdr:from>
      <xdr:col>0</xdr:col>
      <xdr:colOff>76200</xdr:colOff>
      <xdr:row>58</xdr:row>
      <xdr:rowOff>47625</xdr:rowOff>
    </xdr:from>
    <xdr:to>
      <xdr:col>2</xdr:col>
      <xdr:colOff>466725</xdr:colOff>
      <xdr:row>61</xdr:row>
      <xdr:rowOff>76200</xdr:rowOff>
    </xdr:to>
    <xdr:pic>
      <xdr:nvPicPr>
        <xdr:cNvPr id="4"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76200" y="16192500"/>
          <a:ext cx="2933700" cy="771525"/>
        </a:xfrm>
        <a:prstGeom prst="rect">
          <a:avLst/>
        </a:prstGeom>
        <a:noFill/>
        <a:ln w="1">
          <a:noFill/>
          <a:miter lim="800000"/>
          <a:headEnd/>
          <a:tailEnd type="none" w="med" len="med"/>
        </a:ln>
        <a:effectLst/>
      </xdr:spPr>
    </xdr:pic>
    <xdr:clientData/>
  </xdr:twoCellAnchor>
  <xdr:twoCellAnchor editAs="oneCell">
    <xdr:from>
      <xdr:col>5</xdr:col>
      <xdr:colOff>9525</xdr:colOff>
      <xdr:row>51</xdr:row>
      <xdr:rowOff>9525</xdr:rowOff>
    </xdr:from>
    <xdr:to>
      <xdr:col>7</xdr:col>
      <xdr:colOff>57150</xdr:colOff>
      <xdr:row>66</xdr:row>
      <xdr:rowOff>209550</xdr:rowOff>
    </xdr:to>
    <xdr:pic>
      <xdr:nvPicPr>
        <xdr:cNvPr id="5" name="Picture 9"/>
        <xdr:cNvPicPr>
          <a:picLocks noChangeAspect="1" noChangeArrowheads="1"/>
        </xdr:cNvPicPr>
      </xdr:nvPicPr>
      <xdr:blipFill>
        <a:blip xmlns:r="http://schemas.openxmlformats.org/officeDocument/2006/relationships" r:embed="rId4" cstate="print"/>
        <a:srcRect/>
        <a:stretch>
          <a:fillRect/>
        </a:stretch>
      </xdr:blipFill>
      <xdr:spPr bwMode="auto">
        <a:xfrm>
          <a:off x="5324475" y="12687300"/>
          <a:ext cx="2152650" cy="3914775"/>
        </a:xfrm>
        <a:prstGeom prst="rect">
          <a:avLst/>
        </a:prstGeom>
        <a:noFill/>
        <a:ln w="1">
          <a:noFill/>
          <a:miter lim="800000"/>
          <a:headEnd/>
          <a:tailEnd type="none" w="med" len="med"/>
        </a:ln>
        <a:effectLst/>
      </xdr:spPr>
    </xdr:pic>
    <xdr:clientData/>
  </xdr:twoCellAnchor>
  <xdr:twoCellAnchor editAs="oneCell">
    <xdr:from>
      <xdr:col>7</xdr:col>
      <xdr:colOff>123825</xdr:colOff>
      <xdr:row>51</xdr:row>
      <xdr:rowOff>9525</xdr:rowOff>
    </xdr:from>
    <xdr:to>
      <xdr:col>14</xdr:col>
      <xdr:colOff>409575</xdr:colOff>
      <xdr:row>66</xdr:row>
      <xdr:rowOff>209550</xdr:rowOff>
    </xdr:to>
    <xdr:pic>
      <xdr:nvPicPr>
        <xdr:cNvPr id="6" name="Picture 10"/>
        <xdr:cNvPicPr>
          <a:picLocks noChangeAspect="1" noChangeArrowheads="1"/>
        </xdr:cNvPicPr>
      </xdr:nvPicPr>
      <xdr:blipFill>
        <a:blip xmlns:r="http://schemas.openxmlformats.org/officeDocument/2006/relationships" r:embed="rId5" cstate="print"/>
        <a:srcRect/>
        <a:stretch>
          <a:fillRect/>
        </a:stretch>
      </xdr:blipFill>
      <xdr:spPr bwMode="auto">
        <a:xfrm>
          <a:off x="7543800" y="12687300"/>
          <a:ext cx="5162550" cy="3914775"/>
        </a:xfrm>
        <a:prstGeom prst="rect">
          <a:avLst/>
        </a:prstGeom>
        <a:noFill/>
        <a:ln w="1">
          <a:noFill/>
          <a:miter lim="800000"/>
          <a:headEnd/>
          <a:tailEnd type="none" w="med" len="med"/>
        </a:ln>
        <a:effectLst/>
      </xdr:spPr>
    </xdr:pic>
    <xdr:clientData/>
  </xdr:twoCellAnchor>
  <xdr:twoCellAnchor editAs="oneCell">
    <xdr:from>
      <xdr:col>0</xdr:col>
      <xdr:colOff>0</xdr:colOff>
      <xdr:row>72</xdr:row>
      <xdr:rowOff>95250</xdr:rowOff>
    </xdr:from>
    <xdr:to>
      <xdr:col>3</xdr:col>
      <xdr:colOff>609600</xdr:colOff>
      <xdr:row>76</xdr:row>
      <xdr:rowOff>180975</xdr:rowOff>
    </xdr:to>
    <xdr:pic>
      <xdr:nvPicPr>
        <xdr:cNvPr id="7" name="Picture 14"/>
        <xdr:cNvPicPr>
          <a:picLocks noChangeAspect="1" noChangeArrowheads="1"/>
        </xdr:cNvPicPr>
      </xdr:nvPicPr>
      <xdr:blipFill>
        <a:blip xmlns:r="http://schemas.openxmlformats.org/officeDocument/2006/relationships" r:embed="rId6" cstate="print"/>
        <a:srcRect/>
        <a:stretch>
          <a:fillRect/>
        </a:stretch>
      </xdr:blipFill>
      <xdr:spPr bwMode="auto">
        <a:xfrm>
          <a:off x="0" y="19707225"/>
          <a:ext cx="4210050" cy="1076325"/>
        </a:xfrm>
        <a:prstGeom prst="rect">
          <a:avLst/>
        </a:prstGeom>
        <a:noFill/>
        <a:ln w="1">
          <a:noFill/>
          <a:miter lim="800000"/>
          <a:headEnd/>
          <a:tailEnd type="none" w="med" len="med"/>
        </a:ln>
        <a:effectLst/>
      </xdr:spPr>
    </xdr:pic>
    <xdr:clientData/>
  </xdr:twoCellAnchor>
  <xdr:twoCellAnchor editAs="oneCell">
    <xdr:from>
      <xdr:col>0</xdr:col>
      <xdr:colOff>0</xdr:colOff>
      <xdr:row>67</xdr:row>
      <xdr:rowOff>133350</xdr:rowOff>
    </xdr:from>
    <xdr:to>
      <xdr:col>3</xdr:col>
      <xdr:colOff>885825</xdr:colOff>
      <xdr:row>72</xdr:row>
      <xdr:rowOff>28575</xdr:rowOff>
    </xdr:to>
    <xdr:pic>
      <xdr:nvPicPr>
        <xdr:cNvPr id="8" name="Picture 15"/>
        <xdr:cNvPicPr>
          <a:picLocks noChangeAspect="1" noChangeArrowheads="1"/>
        </xdr:cNvPicPr>
      </xdr:nvPicPr>
      <xdr:blipFill>
        <a:blip xmlns:r="http://schemas.openxmlformats.org/officeDocument/2006/relationships" r:embed="rId7" cstate="print"/>
        <a:srcRect/>
        <a:stretch>
          <a:fillRect/>
        </a:stretch>
      </xdr:blipFill>
      <xdr:spPr bwMode="auto">
        <a:xfrm>
          <a:off x="0" y="18507075"/>
          <a:ext cx="4486275" cy="1133475"/>
        </a:xfrm>
        <a:prstGeom prst="rect">
          <a:avLst/>
        </a:prstGeom>
        <a:noFill/>
        <a:ln w="1">
          <a:noFill/>
          <a:miter lim="800000"/>
          <a:headEnd/>
          <a:tailEnd type="none" w="med" len="med"/>
        </a:ln>
        <a:effectLst/>
      </xdr:spPr>
    </xdr:pic>
    <xdr:clientData/>
  </xdr:twoCellAnchor>
  <xdr:twoCellAnchor editAs="oneCell">
    <xdr:from>
      <xdr:col>0</xdr:col>
      <xdr:colOff>19050</xdr:colOff>
      <xdr:row>63</xdr:row>
      <xdr:rowOff>0</xdr:rowOff>
    </xdr:from>
    <xdr:to>
      <xdr:col>3</xdr:col>
      <xdr:colOff>828675</xdr:colOff>
      <xdr:row>67</xdr:row>
      <xdr:rowOff>161925</xdr:rowOff>
    </xdr:to>
    <xdr:pic>
      <xdr:nvPicPr>
        <xdr:cNvPr id="9" name="Picture 16"/>
        <xdr:cNvPicPr>
          <a:picLocks noChangeAspect="1" noChangeArrowheads="1"/>
        </xdr:cNvPicPr>
      </xdr:nvPicPr>
      <xdr:blipFill>
        <a:blip xmlns:r="http://schemas.openxmlformats.org/officeDocument/2006/relationships" r:embed="rId8" cstate="print"/>
        <a:srcRect/>
        <a:stretch>
          <a:fillRect/>
        </a:stretch>
      </xdr:blipFill>
      <xdr:spPr bwMode="auto">
        <a:xfrm>
          <a:off x="19050" y="17383125"/>
          <a:ext cx="4410075" cy="1152525"/>
        </a:xfrm>
        <a:prstGeom prst="rect">
          <a:avLst/>
        </a:prstGeom>
        <a:noFill/>
        <a:ln w="1">
          <a:noFill/>
          <a:miter lim="800000"/>
          <a:headEnd/>
          <a:tailEnd type="none" w="med" len="med"/>
        </a:ln>
        <a:effectLst/>
      </xdr:spPr>
    </xdr:pic>
    <xdr:clientData/>
  </xdr:twoCellAnchor>
  <xdr:twoCellAnchor editAs="oneCell">
    <xdr:from>
      <xdr:col>8</xdr:col>
      <xdr:colOff>400050</xdr:colOff>
      <xdr:row>1</xdr:row>
      <xdr:rowOff>237298</xdr:rowOff>
    </xdr:from>
    <xdr:to>
      <xdr:col>12</xdr:col>
      <xdr:colOff>523876</xdr:colOff>
      <xdr:row>9</xdr:row>
      <xdr:rowOff>79243</xdr:rowOff>
    </xdr:to>
    <xdr:pic>
      <xdr:nvPicPr>
        <xdr:cNvPr id="10" name="Picture 17"/>
        <xdr:cNvPicPr>
          <a:picLocks noChangeAspect="1" noChangeArrowheads="1"/>
        </xdr:cNvPicPr>
      </xdr:nvPicPr>
      <xdr:blipFill>
        <a:blip xmlns:r="http://schemas.openxmlformats.org/officeDocument/2006/relationships" r:embed="rId9" cstate="print"/>
        <a:srcRect/>
        <a:stretch>
          <a:fillRect/>
        </a:stretch>
      </xdr:blipFill>
      <xdr:spPr bwMode="auto">
        <a:xfrm>
          <a:off x="8629650" y="532573"/>
          <a:ext cx="3000376" cy="1823145"/>
        </a:xfrm>
        <a:prstGeom prst="rect">
          <a:avLst/>
        </a:prstGeom>
        <a:noFill/>
        <a:ln w="1">
          <a:noFill/>
          <a:miter lim="800000"/>
          <a:headEnd/>
          <a:tailEnd type="none" w="med" len="med"/>
        </a:ln>
        <a:effectLst/>
      </xdr:spPr>
    </xdr:pic>
    <xdr:clientData/>
  </xdr:twoCellAnchor>
  <xdr:twoCellAnchor editAs="oneCell">
    <xdr:from>
      <xdr:col>8</xdr:col>
      <xdr:colOff>429536</xdr:colOff>
      <xdr:row>11</xdr:row>
      <xdr:rowOff>19051</xdr:rowOff>
    </xdr:from>
    <xdr:to>
      <xdr:col>12</xdr:col>
      <xdr:colOff>333375</xdr:colOff>
      <xdr:row>17</xdr:row>
      <xdr:rowOff>150993</xdr:rowOff>
    </xdr:to>
    <xdr:pic>
      <xdr:nvPicPr>
        <xdr:cNvPr id="13" name="Picture 7"/>
        <xdr:cNvPicPr>
          <a:picLocks noChangeAspect="1" noChangeArrowheads="1"/>
        </xdr:cNvPicPr>
      </xdr:nvPicPr>
      <xdr:blipFill>
        <a:blip xmlns:r="http://schemas.openxmlformats.org/officeDocument/2006/relationships" r:embed="rId10" cstate="print"/>
        <a:srcRect/>
        <a:stretch>
          <a:fillRect/>
        </a:stretch>
      </xdr:blipFill>
      <xdr:spPr bwMode="auto">
        <a:xfrm>
          <a:off x="8659136" y="2790826"/>
          <a:ext cx="2780389" cy="1617842"/>
        </a:xfrm>
        <a:prstGeom prst="rect">
          <a:avLst/>
        </a:prstGeom>
        <a:noFill/>
        <a:ln w="1">
          <a:noFill/>
          <a:miter lim="800000"/>
          <a:headEnd/>
          <a:tailEnd type="none" w="med" len="med"/>
        </a:ln>
        <a:effectLst/>
      </xdr:spPr>
    </xdr:pic>
    <xdr:clientData/>
  </xdr:twoCellAnchor>
  <xdr:twoCellAnchor editAs="oneCell">
    <xdr:from>
      <xdr:col>12</xdr:col>
      <xdr:colOff>333375</xdr:colOff>
      <xdr:row>10</xdr:row>
      <xdr:rowOff>161925</xdr:rowOff>
    </xdr:from>
    <xdr:to>
      <xdr:col>14</xdr:col>
      <xdr:colOff>638175</xdr:colOff>
      <xdr:row>17</xdr:row>
      <xdr:rowOff>202228</xdr:rowOff>
    </xdr:to>
    <xdr:pic>
      <xdr:nvPicPr>
        <xdr:cNvPr id="14" name="Picture 10"/>
        <xdr:cNvPicPr>
          <a:picLocks noChangeAspect="1" noChangeArrowheads="1"/>
        </xdr:cNvPicPr>
      </xdr:nvPicPr>
      <xdr:blipFill>
        <a:blip xmlns:r="http://schemas.openxmlformats.org/officeDocument/2006/relationships" r:embed="rId11" cstate="print"/>
        <a:srcRect/>
        <a:stretch>
          <a:fillRect/>
        </a:stretch>
      </xdr:blipFill>
      <xdr:spPr bwMode="auto">
        <a:xfrm>
          <a:off x="11439525" y="2686050"/>
          <a:ext cx="1495425" cy="1773853"/>
        </a:xfrm>
        <a:prstGeom prst="rect">
          <a:avLst/>
        </a:prstGeom>
        <a:noFill/>
        <a:ln w="1">
          <a:noFill/>
          <a:miter lim="800000"/>
          <a:headEnd/>
          <a:tailEnd type="none" w="med" len="med"/>
        </a:ln>
        <a:effectLst/>
      </xdr:spPr>
    </xdr:pic>
    <xdr:clientData/>
  </xdr:twoCellAnchor>
  <xdr:twoCellAnchor editAs="oneCell">
    <xdr:from>
      <xdr:col>15</xdr:col>
      <xdr:colOff>0</xdr:colOff>
      <xdr:row>11</xdr:row>
      <xdr:rowOff>0</xdr:rowOff>
    </xdr:from>
    <xdr:to>
      <xdr:col>20</xdr:col>
      <xdr:colOff>426520</xdr:colOff>
      <xdr:row>19</xdr:row>
      <xdr:rowOff>114300</xdr:rowOff>
    </xdr:to>
    <xdr:pic>
      <xdr:nvPicPr>
        <xdr:cNvPr id="15" name="Picture 8"/>
        <xdr:cNvPicPr>
          <a:picLocks noChangeAspect="1" noChangeArrowheads="1"/>
        </xdr:cNvPicPr>
      </xdr:nvPicPr>
      <xdr:blipFill>
        <a:blip xmlns:r="http://schemas.openxmlformats.org/officeDocument/2006/relationships" r:embed="rId12" cstate="print"/>
        <a:srcRect/>
        <a:stretch>
          <a:fillRect/>
        </a:stretch>
      </xdr:blipFill>
      <xdr:spPr bwMode="auto">
        <a:xfrm>
          <a:off x="12944475" y="2771775"/>
          <a:ext cx="4474645" cy="2095500"/>
        </a:xfrm>
        <a:prstGeom prst="rect">
          <a:avLst/>
        </a:prstGeom>
        <a:noFill/>
        <a:ln w="1">
          <a:noFill/>
          <a:miter lim="800000"/>
          <a:headEnd/>
          <a:tailEnd type="none" w="med" len="med"/>
        </a:ln>
        <a:effectLst/>
      </xdr:spPr>
    </xdr:pic>
    <xdr:clientData/>
  </xdr:twoCellAnchor>
  <xdr:twoCellAnchor editAs="oneCell">
    <xdr:from>
      <xdr:col>20</xdr:col>
      <xdr:colOff>438150</xdr:colOff>
      <xdr:row>11</xdr:row>
      <xdr:rowOff>0</xdr:rowOff>
    </xdr:from>
    <xdr:to>
      <xdr:col>25</xdr:col>
      <xdr:colOff>133350</xdr:colOff>
      <xdr:row>19</xdr:row>
      <xdr:rowOff>147489</xdr:rowOff>
    </xdr:to>
    <xdr:pic>
      <xdr:nvPicPr>
        <xdr:cNvPr id="16" name="Picture 9"/>
        <xdr:cNvPicPr>
          <a:picLocks noChangeAspect="1" noChangeArrowheads="1"/>
        </xdr:cNvPicPr>
      </xdr:nvPicPr>
      <xdr:blipFill>
        <a:blip xmlns:r="http://schemas.openxmlformats.org/officeDocument/2006/relationships" r:embed="rId13" cstate="print"/>
        <a:srcRect/>
        <a:stretch>
          <a:fillRect/>
        </a:stretch>
      </xdr:blipFill>
      <xdr:spPr bwMode="auto">
        <a:xfrm>
          <a:off x="17430750" y="2771775"/>
          <a:ext cx="2981325" cy="2128689"/>
        </a:xfrm>
        <a:prstGeom prst="rect">
          <a:avLst/>
        </a:prstGeom>
        <a:noFill/>
        <a:ln w="1">
          <a:noFill/>
          <a:miter lim="800000"/>
          <a:headEnd/>
          <a:tailEnd type="none" w="med" len="med"/>
        </a:ln>
        <a:effectLst/>
      </xdr:spPr>
    </xdr:pic>
    <xdr:clientData/>
  </xdr:twoCellAnchor>
  <xdr:twoCellAnchor editAs="oneCell">
    <xdr:from>
      <xdr:col>5</xdr:col>
      <xdr:colOff>9525</xdr:colOff>
      <xdr:row>18</xdr:row>
      <xdr:rowOff>2</xdr:rowOff>
    </xdr:from>
    <xdr:to>
      <xdr:col>14</xdr:col>
      <xdr:colOff>66675</xdr:colOff>
      <xdr:row>33</xdr:row>
      <xdr:rowOff>38100</xdr:rowOff>
    </xdr:to>
    <xdr:pic>
      <xdr:nvPicPr>
        <xdr:cNvPr id="14337" name="Picture 1"/>
        <xdr:cNvPicPr>
          <a:picLocks noChangeAspect="1" noChangeArrowheads="1"/>
        </xdr:cNvPicPr>
      </xdr:nvPicPr>
      <xdr:blipFill>
        <a:blip xmlns:r="http://schemas.openxmlformats.org/officeDocument/2006/relationships" r:embed="rId14" cstate="print"/>
        <a:srcRect/>
        <a:stretch>
          <a:fillRect/>
        </a:stretch>
      </xdr:blipFill>
      <xdr:spPr bwMode="auto">
        <a:xfrm>
          <a:off x="5324475" y="4505327"/>
          <a:ext cx="7038975" cy="3752848"/>
        </a:xfrm>
        <a:prstGeom prst="rect">
          <a:avLst/>
        </a:prstGeom>
        <a:noFill/>
        <a:ln w="1">
          <a:noFill/>
          <a:miter lim="800000"/>
          <a:headEnd/>
          <a:tailEnd type="none" w="med" len="med"/>
        </a:ln>
        <a:effectLst/>
      </xdr:spPr>
    </xdr:pic>
    <xdr:clientData/>
  </xdr:twoCellAnchor>
  <xdr:twoCellAnchor editAs="oneCell">
    <xdr:from>
      <xdr:col>5</xdr:col>
      <xdr:colOff>9525</xdr:colOff>
      <xdr:row>32</xdr:row>
      <xdr:rowOff>114300</xdr:rowOff>
    </xdr:from>
    <xdr:to>
      <xdr:col>12</xdr:col>
      <xdr:colOff>190500</xdr:colOff>
      <xdr:row>49</xdr:row>
      <xdr:rowOff>123825</xdr:rowOff>
    </xdr:to>
    <xdr:pic>
      <xdr:nvPicPr>
        <xdr:cNvPr id="14338" name="Picture 2"/>
        <xdr:cNvPicPr>
          <a:picLocks noChangeAspect="1" noChangeArrowheads="1"/>
        </xdr:cNvPicPr>
      </xdr:nvPicPr>
      <xdr:blipFill>
        <a:blip xmlns:r="http://schemas.openxmlformats.org/officeDocument/2006/relationships" r:embed="rId15" cstate="print"/>
        <a:srcRect/>
        <a:stretch>
          <a:fillRect/>
        </a:stretch>
      </xdr:blipFill>
      <xdr:spPr bwMode="auto">
        <a:xfrm>
          <a:off x="5324475" y="8086725"/>
          <a:ext cx="5972175" cy="421957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7" name="五边形 16">
          <a:hlinkClick xmlns:r="http://schemas.openxmlformats.org/officeDocument/2006/relationships" r:id="rId16"/>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xdr:colOff>
      <xdr:row>47</xdr:row>
      <xdr:rowOff>9525</xdr:rowOff>
    </xdr:from>
    <xdr:to>
      <xdr:col>1</xdr:col>
      <xdr:colOff>1439072</xdr:colOff>
      <xdr:row>56</xdr:row>
      <xdr:rowOff>76200</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 y="11696700"/>
          <a:ext cx="2458246" cy="2295525"/>
        </a:xfrm>
        <a:prstGeom prst="rect">
          <a:avLst/>
        </a:prstGeom>
        <a:noFill/>
        <a:ln w="1">
          <a:noFill/>
          <a:miter lim="800000"/>
          <a:headEnd/>
          <a:tailEnd type="none" w="med" len="med"/>
        </a:ln>
        <a:effectLst/>
      </xdr:spPr>
    </xdr:pic>
    <xdr:clientData/>
  </xdr:twoCellAnchor>
  <xdr:twoCellAnchor editAs="oneCell">
    <xdr:from>
      <xdr:col>1</xdr:col>
      <xdr:colOff>1390651</xdr:colOff>
      <xdr:row>47</xdr:row>
      <xdr:rowOff>19051</xdr:rowOff>
    </xdr:from>
    <xdr:to>
      <xdr:col>4</xdr:col>
      <xdr:colOff>295276</xdr:colOff>
      <xdr:row>54</xdr:row>
      <xdr:rowOff>120005</xdr:rowOff>
    </xdr:to>
    <xdr:pic>
      <xdr:nvPicPr>
        <xdr:cNvPr id="3" name="Picture 6"/>
        <xdr:cNvPicPr>
          <a:picLocks noChangeAspect="1" noChangeArrowheads="1"/>
        </xdr:cNvPicPr>
      </xdr:nvPicPr>
      <xdr:blipFill>
        <a:blip xmlns:r="http://schemas.openxmlformats.org/officeDocument/2006/relationships" r:embed="rId2" cstate="print"/>
        <a:srcRect/>
        <a:stretch>
          <a:fillRect/>
        </a:stretch>
      </xdr:blipFill>
      <xdr:spPr bwMode="auto">
        <a:xfrm>
          <a:off x="2409826" y="11706226"/>
          <a:ext cx="2819400" cy="1834504"/>
        </a:xfrm>
        <a:prstGeom prst="rect">
          <a:avLst/>
        </a:prstGeom>
        <a:noFill/>
        <a:ln w="1">
          <a:noFill/>
          <a:miter lim="800000"/>
          <a:headEnd/>
          <a:tailEnd type="none" w="med" len="med"/>
        </a:ln>
        <a:effectLst/>
      </xdr:spPr>
    </xdr:pic>
    <xdr:clientData/>
  </xdr:twoCellAnchor>
  <xdr:twoCellAnchor editAs="oneCell">
    <xdr:from>
      <xdr:col>0</xdr:col>
      <xdr:colOff>76200</xdr:colOff>
      <xdr:row>58</xdr:row>
      <xdr:rowOff>47625</xdr:rowOff>
    </xdr:from>
    <xdr:to>
      <xdr:col>2</xdr:col>
      <xdr:colOff>466725</xdr:colOff>
      <xdr:row>61</xdr:row>
      <xdr:rowOff>76200</xdr:rowOff>
    </xdr:to>
    <xdr:pic>
      <xdr:nvPicPr>
        <xdr:cNvPr id="4"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76200" y="14458950"/>
          <a:ext cx="2933700" cy="771525"/>
        </a:xfrm>
        <a:prstGeom prst="rect">
          <a:avLst/>
        </a:prstGeom>
        <a:noFill/>
        <a:ln w="1">
          <a:noFill/>
          <a:miter lim="800000"/>
          <a:headEnd/>
          <a:tailEnd type="none" w="med" len="med"/>
        </a:ln>
        <a:effectLst/>
      </xdr:spPr>
    </xdr:pic>
    <xdr:clientData/>
  </xdr:twoCellAnchor>
  <xdr:twoCellAnchor editAs="oneCell">
    <xdr:from>
      <xdr:col>5</xdr:col>
      <xdr:colOff>9525</xdr:colOff>
      <xdr:row>51</xdr:row>
      <xdr:rowOff>9525</xdr:rowOff>
    </xdr:from>
    <xdr:to>
      <xdr:col>7</xdr:col>
      <xdr:colOff>57150</xdr:colOff>
      <xdr:row>66</xdr:row>
      <xdr:rowOff>209550</xdr:rowOff>
    </xdr:to>
    <xdr:pic>
      <xdr:nvPicPr>
        <xdr:cNvPr id="5" name="Picture 9"/>
        <xdr:cNvPicPr>
          <a:picLocks noChangeAspect="1" noChangeArrowheads="1"/>
        </xdr:cNvPicPr>
      </xdr:nvPicPr>
      <xdr:blipFill>
        <a:blip xmlns:r="http://schemas.openxmlformats.org/officeDocument/2006/relationships" r:embed="rId4" cstate="print"/>
        <a:srcRect/>
        <a:stretch>
          <a:fillRect/>
        </a:stretch>
      </xdr:blipFill>
      <xdr:spPr bwMode="auto">
        <a:xfrm>
          <a:off x="5324475" y="12687300"/>
          <a:ext cx="2152650" cy="3914775"/>
        </a:xfrm>
        <a:prstGeom prst="rect">
          <a:avLst/>
        </a:prstGeom>
        <a:noFill/>
        <a:ln w="1">
          <a:noFill/>
          <a:miter lim="800000"/>
          <a:headEnd/>
          <a:tailEnd type="none" w="med" len="med"/>
        </a:ln>
        <a:effectLst/>
      </xdr:spPr>
    </xdr:pic>
    <xdr:clientData/>
  </xdr:twoCellAnchor>
  <xdr:twoCellAnchor editAs="oneCell">
    <xdr:from>
      <xdr:col>7</xdr:col>
      <xdr:colOff>123825</xdr:colOff>
      <xdr:row>51</xdr:row>
      <xdr:rowOff>9525</xdr:rowOff>
    </xdr:from>
    <xdr:to>
      <xdr:col>14</xdr:col>
      <xdr:colOff>409575</xdr:colOff>
      <xdr:row>66</xdr:row>
      <xdr:rowOff>209550</xdr:rowOff>
    </xdr:to>
    <xdr:pic>
      <xdr:nvPicPr>
        <xdr:cNvPr id="6" name="Picture 10"/>
        <xdr:cNvPicPr>
          <a:picLocks noChangeAspect="1" noChangeArrowheads="1"/>
        </xdr:cNvPicPr>
      </xdr:nvPicPr>
      <xdr:blipFill>
        <a:blip xmlns:r="http://schemas.openxmlformats.org/officeDocument/2006/relationships" r:embed="rId5" cstate="print"/>
        <a:srcRect/>
        <a:stretch>
          <a:fillRect/>
        </a:stretch>
      </xdr:blipFill>
      <xdr:spPr bwMode="auto">
        <a:xfrm>
          <a:off x="7543800" y="12687300"/>
          <a:ext cx="5162550" cy="3914775"/>
        </a:xfrm>
        <a:prstGeom prst="rect">
          <a:avLst/>
        </a:prstGeom>
        <a:noFill/>
        <a:ln w="1">
          <a:noFill/>
          <a:miter lim="800000"/>
          <a:headEnd/>
          <a:tailEnd type="none" w="med" len="med"/>
        </a:ln>
        <a:effectLst/>
      </xdr:spPr>
    </xdr:pic>
    <xdr:clientData/>
  </xdr:twoCellAnchor>
  <xdr:twoCellAnchor editAs="oneCell">
    <xdr:from>
      <xdr:col>0</xdr:col>
      <xdr:colOff>0</xdr:colOff>
      <xdr:row>72</xdr:row>
      <xdr:rowOff>95250</xdr:rowOff>
    </xdr:from>
    <xdr:to>
      <xdr:col>3</xdr:col>
      <xdr:colOff>609600</xdr:colOff>
      <xdr:row>76</xdr:row>
      <xdr:rowOff>180975</xdr:rowOff>
    </xdr:to>
    <xdr:pic>
      <xdr:nvPicPr>
        <xdr:cNvPr id="7" name="Picture 14"/>
        <xdr:cNvPicPr>
          <a:picLocks noChangeAspect="1" noChangeArrowheads="1"/>
        </xdr:cNvPicPr>
      </xdr:nvPicPr>
      <xdr:blipFill>
        <a:blip xmlns:r="http://schemas.openxmlformats.org/officeDocument/2006/relationships" r:embed="rId6" cstate="print"/>
        <a:srcRect/>
        <a:stretch>
          <a:fillRect/>
        </a:stretch>
      </xdr:blipFill>
      <xdr:spPr bwMode="auto">
        <a:xfrm>
          <a:off x="0" y="17973675"/>
          <a:ext cx="4210050" cy="1076325"/>
        </a:xfrm>
        <a:prstGeom prst="rect">
          <a:avLst/>
        </a:prstGeom>
        <a:noFill/>
        <a:ln w="1">
          <a:noFill/>
          <a:miter lim="800000"/>
          <a:headEnd/>
          <a:tailEnd type="none" w="med" len="med"/>
        </a:ln>
        <a:effectLst/>
      </xdr:spPr>
    </xdr:pic>
    <xdr:clientData/>
  </xdr:twoCellAnchor>
  <xdr:twoCellAnchor editAs="oneCell">
    <xdr:from>
      <xdr:col>0</xdr:col>
      <xdr:colOff>0</xdr:colOff>
      <xdr:row>67</xdr:row>
      <xdr:rowOff>133350</xdr:rowOff>
    </xdr:from>
    <xdr:to>
      <xdr:col>3</xdr:col>
      <xdr:colOff>885825</xdr:colOff>
      <xdr:row>72</xdr:row>
      <xdr:rowOff>28575</xdr:rowOff>
    </xdr:to>
    <xdr:pic>
      <xdr:nvPicPr>
        <xdr:cNvPr id="8" name="Picture 15"/>
        <xdr:cNvPicPr>
          <a:picLocks noChangeAspect="1" noChangeArrowheads="1"/>
        </xdr:cNvPicPr>
      </xdr:nvPicPr>
      <xdr:blipFill>
        <a:blip xmlns:r="http://schemas.openxmlformats.org/officeDocument/2006/relationships" r:embed="rId7" cstate="print"/>
        <a:srcRect/>
        <a:stretch>
          <a:fillRect/>
        </a:stretch>
      </xdr:blipFill>
      <xdr:spPr bwMode="auto">
        <a:xfrm>
          <a:off x="0" y="16773525"/>
          <a:ext cx="4486275" cy="1133475"/>
        </a:xfrm>
        <a:prstGeom prst="rect">
          <a:avLst/>
        </a:prstGeom>
        <a:noFill/>
        <a:ln w="1">
          <a:noFill/>
          <a:miter lim="800000"/>
          <a:headEnd/>
          <a:tailEnd type="none" w="med" len="med"/>
        </a:ln>
        <a:effectLst/>
      </xdr:spPr>
    </xdr:pic>
    <xdr:clientData/>
  </xdr:twoCellAnchor>
  <xdr:twoCellAnchor editAs="oneCell">
    <xdr:from>
      <xdr:col>0</xdr:col>
      <xdr:colOff>19050</xdr:colOff>
      <xdr:row>63</xdr:row>
      <xdr:rowOff>0</xdr:rowOff>
    </xdr:from>
    <xdr:to>
      <xdr:col>3</xdr:col>
      <xdr:colOff>828675</xdr:colOff>
      <xdr:row>67</xdr:row>
      <xdr:rowOff>161925</xdr:rowOff>
    </xdr:to>
    <xdr:pic>
      <xdr:nvPicPr>
        <xdr:cNvPr id="9" name="Picture 16"/>
        <xdr:cNvPicPr>
          <a:picLocks noChangeAspect="1" noChangeArrowheads="1"/>
        </xdr:cNvPicPr>
      </xdr:nvPicPr>
      <xdr:blipFill>
        <a:blip xmlns:r="http://schemas.openxmlformats.org/officeDocument/2006/relationships" r:embed="rId8" cstate="print"/>
        <a:srcRect/>
        <a:stretch>
          <a:fillRect/>
        </a:stretch>
      </xdr:blipFill>
      <xdr:spPr bwMode="auto">
        <a:xfrm>
          <a:off x="19050" y="15649575"/>
          <a:ext cx="4410075" cy="1152525"/>
        </a:xfrm>
        <a:prstGeom prst="rect">
          <a:avLst/>
        </a:prstGeom>
        <a:noFill/>
        <a:ln w="1">
          <a:noFill/>
          <a:miter lim="800000"/>
          <a:headEnd/>
          <a:tailEnd type="none" w="med" len="med"/>
        </a:ln>
        <a:effectLst/>
      </xdr:spPr>
    </xdr:pic>
    <xdr:clientData/>
  </xdr:twoCellAnchor>
  <xdr:twoCellAnchor editAs="oneCell">
    <xdr:from>
      <xdr:col>8</xdr:col>
      <xdr:colOff>400050</xdr:colOff>
      <xdr:row>1</xdr:row>
      <xdr:rowOff>237298</xdr:rowOff>
    </xdr:from>
    <xdr:to>
      <xdr:col>12</xdr:col>
      <xdr:colOff>523876</xdr:colOff>
      <xdr:row>9</xdr:row>
      <xdr:rowOff>79243</xdr:rowOff>
    </xdr:to>
    <xdr:pic>
      <xdr:nvPicPr>
        <xdr:cNvPr id="10" name="Picture 17"/>
        <xdr:cNvPicPr>
          <a:picLocks noChangeAspect="1" noChangeArrowheads="1"/>
        </xdr:cNvPicPr>
      </xdr:nvPicPr>
      <xdr:blipFill>
        <a:blip xmlns:r="http://schemas.openxmlformats.org/officeDocument/2006/relationships" r:embed="rId9" cstate="print"/>
        <a:srcRect/>
        <a:stretch>
          <a:fillRect/>
        </a:stretch>
      </xdr:blipFill>
      <xdr:spPr bwMode="auto">
        <a:xfrm>
          <a:off x="8629650" y="532573"/>
          <a:ext cx="3000376" cy="1823145"/>
        </a:xfrm>
        <a:prstGeom prst="rect">
          <a:avLst/>
        </a:prstGeom>
        <a:noFill/>
        <a:ln w="1">
          <a:noFill/>
          <a:miter lim="800000"/>
          <a:headEnd/>
          <a:tailEnd type="none" w="med" len="med"/>
        </a:ln>
        <a:effectLst/>
      </xdr:spPr>
    </xdr:pic>
    <xdr:clientData/>
  </xdr:twoCellAnchor>
  <xdr:twoCellAnchor editAs="oneCell">
    <xdr:from>
      <xdr:col>8</xdr:col>
      <xdr:colOff>429536</xdr:colOff>
      <xdr:row>11</xdr:row>
      <xdr:rowOff>19051</xdr:rowOff>
    </xdr:from>
    <xdr:to>
      <xdr:col>12</xdr:col>
      <xdr:colOff>333375</xdr:colOff>
      <xdr:row>17</xdr:row>
      <xdr:rowOff>150993</xdr:rowOff>
    </xdr:to>
    <xdr:pic>
      <xdr:nvPicPr>
        <xdr:cNvPr id="11" name="Picture 7"/>
        <xdr:cNvPicPr>
          <a:picLocks noChangeAspect="1" noChangeArrowheads="1"/>
        </xdr:cNvPicPr>
      </xdr:nvPicPr>
      <xdr:blipFill>
        <a:blip xmlns:r="http://schemas.openxmlformats.org/officeDocument/2006/relationships" r:embed="rId10" cstate="print"/>
        <a:srcRect/>
        <a:stretch>
          <a:fillRect/>
        </a:stretch>
      </xdr:blipFill>
      <xdr:spPr bwMode="auto">
        <a:xfrm>
          <a:off x="8659136" y="2790826"/>
          <a:ext cx="2780389" cy="1617842"/>
        </a:xfrm>
        <a:prstGeom prst="rect">
          <a:avLst/>
        </a:prstGeom>
        <a:noFill/>
        <a:ln w="1">
          <a:noFill/>
          <a:miter lim="800000"/>
          <a:headEnd/>
          <a:tailEnd type="none" w="med" len="med"/>
        </a:ln>
        <a:effectLst/>
      </xdr:spPr>
    </xdr:pic>
    <xdr:clientData/>
  </xdr:twoCellAnchor>
  <xdr:twoCellAnchor editAs="oneCell">
    <xdr:from>
      <xdr:col>12</xdr:col>
      <xdr:colOff>333375</xdr:colOff>
      <xdr:row>10</xdr:row>
      <xdr:rowOff>161925</xdr:rowOff>
    </xdr:from>
    <xdr:to>
      <xdr:col>14</xdr:col>
      <xdr:colOff>638175</xdr:colOff>
      <xdr:row>17</xdr:row>
      <xdr:rowOff>202228</xdr:rowOff>
    </xdr:to>
    <xdr:pic>
      <xdr:nvPicPr>
        <xdr:cNvPr id="12" name="Picture 10"/>
        <xdr:cNvPicPr>
          <a:picLocks noChangeAspect="1" noChangeArrowheads="1"/>
        </xdr:cNvPicPr>
      </xdr:nvPicPr>
      <xdr:blipFill>
        <a:blip xmlns:r="http://schemas.openxmlformats.org/officeDocument/2006/relationships" r:embed="rId11" cstate="print"/>
        <a:srcRect/>
        <a:stretch>
          <a:fillRect/>
        </a:stretch>
      </xdr:blipFill>
      <xdr:spPr bwMode="auto">
        <a:xfrm>
          <a:off x="11439525" y="2686050"/>
          <a:ext cx="1495425" cy="1773853"/>
        </a:xfrm>
        <a:prstGeom prst="rect">
          <a:avLst/>
        </a:prstGeom>
        <a:noFill/>
        <a:ln w="1">
          <a:noFill/>
          <a:miter lim="800000"/>
          <a:headEnd/>
          <a:tailEnd type="none" w="med" len="med"/>
        </a:ln>
        <a:effectLst/>
      </xdr:spPr>
    </xdr:pic>
    <xdr:clientData/>
  </xdr:twoCellAnchor>
  <xdr:twoCellAnchor editAs="oneCell">
    <xdr:from>
      <xdr:col>15</xdr:col>
      <xdr:colOff>0</xdr:colOff>
      <xdr:row>11</xdr:row>
      <xdr:rowOff>0</xdr:rowOff>
    </xdr:from>
    <xdr:to>
      <xdr:col>20</xdr:col>
      <xdr:colOff>426520</xdr:colOff>
      <xdr:row>19</xdr:row>
      <xdr:rowOff>114300</xdr:rowOff>
    </xdr:to>
    <xdr:pic>
      <xdr:nvPicPr>
        <xdr:cNvPr id="13" name="Picture 8"/>
        <xdr:cNvPicPr>
          <a:picLocks noChangeAspect="1" noChangeArrowheads="1"/>
        </xdr:cNvPicPr>
      </xdr:nvPicPr>
      <xdr:blipFill>
        <a:blip xmlns:r="http://schemas.openxmlformats.org/officeDocument/2006/relationships" r:embed="rId12" cstate="print"/>
        <a:srcRect/>
        <a:stretch>
          <a:fillRect/>
        </a:stretch>
      </xdr:blipFill>
      <xdr:spPr bwMode="auto">
        <a:xfrm>
          <a:off x="12944475" y="2771775"/>
          <a:ext cx="4474645" cy="2095500"/>
        </a:xfrm>
        <a:prstGeom prst="rect">
          <a:avLst/>
        </a:prstGeom>
        <a:noFill/>
        <a:ln w="1">
          <a:noFill/>
          <a:miter lim="800000"/>
          <a:headEnd/>
          <a:tailEnd type="none" w="med" len="med"/>
        </a:ln>
        <a:effectLst/>
      </xdr:spPr>
    </xdr:pic>
    <xdr:clientData/>
  </xdr:twoCellAnchor>
  <xdr:twoCellAnchor editAs="oneCell">
    <xdr:from>
      <xdr:col>20</xdr:col>
      <xdr:colOff>438150</xdr:colOff>
      <xdr:row>11</xdr:row>
      <xdr:rowOff>0</xdr:rowOff>
    </xdr:from>
    <xdr:to>
      <xdr:col>25</xdr:col>
      <xdr:colOff>133350</xdr:colOff>
      <xdr:row>19</xdr:row>
      <xdr:rowOff>147489</xdr:rowOff>
    </xdr:to>
    <xdr:pic>
      <xdr:nvPicPr>
        <xdr:cNvPr id="14" name="Picture 9"/>
        <xdr:cNvPicPr>
          <a:picLocks noChangeAspect="1" noChangeArrowheads="1"/>
        </xdr:cNvPicPr>
      </xdr:nvPicPr>
      <xdr:blipFill>
        <a:blip xmlns:r="http://schemas.openxmlformats.org/officeDocument/2006/relationships" r:embed="rId13" cstate="print"/>
        <a:srcRect/>
        <a:stretch>
          <a:fillRect/>
        </a:stretch>
      </xdr:blipFill>
      <xdr:spPr bwMode="auto">
        <a:xfrm>
          <a:off x="17430750" y="2771775"/>
          <a:ext cx="2981325" cy="2128689"/>
        </a:xfrm>
        <a:prstGeom prst="rect">
          <a:avLst/>
        </a:prstGeom>
        <a:noFill/>
        <a:ln w="1">
          <a:noFill/>
          <a:miter lim="800000"/>
          <a:headEnd/>
          <a:tailEnd type="none" w="med" len="med"/>
        </a:ln>
        <a:effectLst/>
      </xdr:spPr>
    </xdr:pic>
    <xdr:clientData/>
  </xdr:twoCellAnchor>
  <xdr:twoCellAnchor editAs="oneCell">
    <xdr:from>
      <xdr:col>5</xdr:col>
      <xdr:colOff>9525</xdr:colOff>
      <xdr:row>18</xdr:row>
      <xdr:rowOff>9525</xdr:rowOff>
    </xdr:from>
    <xdr:to>
      <xdr:col>14</xdr:col>
      <xdr:colOff>552450</xdr:colOff>
      <xdr:row>33</xdr:row>
      <xdr:rowOff>0</xdr:rowOff>
    </xdr:to>
    <xdr:pic>
      <xdr:nvPicPr>
        <xdr:cNvPr id="12289" name="Picture 1"/>
        <xdr:cNvPicPr>
          <a:picLocks noChangeAspect="1" noChangeArrowheads="1"/>
        </xdr:cNvPicPr>
      </xdr:nvPicPr>
      <xdr:blipFill>
        <a:blip xmlns:r="http://schemas.openxmlformats.org/officeDocument/2006/relationships" r:embed="rId14" cstate="print"/>
        <a:srcRect/>
        <a:stretch>
          <a:fillRect/>
        </a:stretch>
      </xdr:blipFill>
      <xdr:spPr bwMode="auto">
        <a:xfrm>
          <a:off x="5324475" y="4514850"/>
          <a:ext cx="7524750" cy="3705225"/>
        </a:xfrm>
        <a:prstGeom prst="rect">
          <a:avLst/>
        </a:prstGeom>
        <a:noFill/>
        <a:ln w="1">
          <a:noFill/>
          <a:miter lim="800000"/>
          <a:headEnd/>
          <a:tailEnd type="none" w="med" len="med"/>
        </a:ln>
        <a:effectLst/>
      </xdr:spPr>
    </xdr:pic>
    <xdr:clientData/>
  </xdr:twoCellAnchor>
  <xdr:twoCellAnchor editAs="oneCell">
    <xdr:from>
      <xdr:col>5</xdr:col>
      <xdr:colOff>9525</xdr:colOff>
      <xdr:row>32</xdr:row>
      <xdr:rowOff>57150</xdr:rowOff>
    </xdr:from>
    <xdr:to>
      <xdr:col>14</xdr:col>
      <xdr:colOff>581025</xdr:colOff>
      <xdr:row>49</xdr:row>
      <xdr:rowOff>85725</xdr:rowOff>
    </xdr:to>
    <xdr:pic>
      <xdr:nvPicPr>
        <xdr:cNvPr id="12290" name="Picture 2"/>
        <xdr:cNvPicPr>
          <a:picLocks noChangeAspect="1" noChangeArrowheads="1"/>
        </xdr:cNvPicPr>
      </xdr:nvPicPr>
      <xdr:blipFill>
        <a:blip xmlns:r="http://schemas.openxmlformats.org/officeDocument/2006/relationships" r:embed="rId15" cstate="print"/>
        <a:srcRect/>
        <a:stretch>
          <a:fillRect/>
        </a:stretch>
      </xdr:blipFill>
      <xdr:spPr bwMode="auto">
        <a:xfrm>
          <a:off x="5324475" y="8029575"/>
          <a:ext cx="7553325" cy="423862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7" name="五边形 16">
          <a:hlinkClick xmlns:r="http://schemas.openxmlformats.org/officeDocument/2006/relationships" r:id="rId16"/>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11</xdr:col>
      <xdr:colOff>142875</xdr:colOff>
      <xdr:row>36</xdr:row>
      <xdr:rowOff>76200</xdr:rowOff>
    </xdr:to>
    <xdr:pic>
      <xdr:nvPicPr>
        <xdr:cNvPr id="13322" name="Picture 10"/>
        <xdr:cNvPicPr>
          <a:picLocks noChangeAspect="1" noChangeArrowheads="1"/>
        </xdr:cNvPicPr>
      </xdr:nvPicPr>
      <xdr:blipFill>
        <a:blip xmlns:r="http://schemas.openxmlformats.org/officeDocument/2006/relationships" r:embed="rId1" cstate="print"/>
        <a:srcRect/>
        <a:stretch>
          <a:fillRect/>
        </a:stretch>
      </xdr:blipFill>
      <xdr:spPr bwMode="auto">
        <a:xfrm>
          <a:off x="6029325" y="3762375"/>
          <a:ext cx="5648325" cy="5276850"/>
        </a:xfrm>
        <a:prstGeom prst="rect">
          <a:avLst/>
        </a:prstGeom>
        <a:noFill/>
        <a:ln w="1">
          <a:noFill/>
          <a:miter lim="800000"/>
          <a:headEnd/>
          <a:tailEnd type="none" w="med" len="med"/>
        </a:ln>
        <a:effectLst/>
      </xdr:spPr>
    </xdr:pic>
    <xdr:clientData/>
  </xdr:twoCellAnchor>
  <xdr:twoCellAnchor editAs="oneCell">
    <xdr:from>
      <xdr:col>5</xdr:col>
      <xdr:colOff>9527</xdr:colOff>
      <xdr:row>0</xdr:row>
      <xdr:rowOff>1</xdr:rowOff>
    </xdr:from>
    <xdr:to>
      <xdr:col>9</xdr:col>
      <xdr:colOff>0</xdr:colOff>
      <xdr:row>7</xdr:row>
      <xdr:rowOff>142876</xdr:rowOff>
    </xdr:to>
    <xdr:pic>
      <xdr:nvPicPr>
        <xdr:cNvPr id="17" name="Picture 15"/>
        <xdr:cNvPicPr>
          <a:picLocks noChangeAspect="1" noChangeArrowheads="1"/>
        </xdr:cNvPicPr>
      </xdr:nvPicPr>
      <xdr:blipFill>
        <a:blip xmlns:r="http://schemas.openxmlformats.org/officeDocument/2006/relationships" r:embed="rId2" cstate="print"/>
        <a:srcRect/>
        <a:stretch>
          <a:fillRect/>
        </a:stretch>
      </xdr:blipFill>
      <xdr:spPr bwMode="auto">
        <a:xfrm>
          <a:off x="6038852" y="1"/>
          <a:ext cx="3714748" cy="1905000"/>
        </a:xfrm>
        <a:prstGeom prst="rect">
          <a:avLst/>
        </a:prstGeom>
        <a:noFill/>
        <a:ln w="1">
          <a:noFill/>
          <a:miter lim="800000"/>
          <a:headEnd/>
          <a:tailEnd type="none" w="med" len="med"/>
        </a:ln>
        <a:effectLst/>
      </xdr:spPr>
    </xdr:pic>
    <xdr:clientData/>
  </xdr:twoCellAnchor>
  <xdr:twoCellAnchor editAs="oneCell">
    <xdr:from>
      <xdr:col>4</xdr:col>
      <xdr:colOff>619125</xdr:colOff>
      <xdr:row>7</xdr:row>
      <xdr:rowOff>200025</xdr:rowOff>
    </xdr:from>
    <xdr:to>
      <xdr:col>8</xdr:col>
      <xdr:colOff>304799</xdr:colOff>
      <xdr:row>13</xdr:row>
      <xdr:rowOff>190500</xdr:rowOff>
    </xdr:to>
    <xdr:pic>
      <xdr:nvPicPr>
        <xdr:cNvPr id="13316" name="Picture 4"/>
        <xdr:cNvPicPr>
          <a:picLocks noChangeAspect="1" noChangeArrowheads="1"/>
        </xdr:cNvPicPr>
      </xdr:nvPicPr>
      <xdr:blipFill>
        <a:blip xmlns:r="http://schemas.openxmlformats.org/officeDocument/2006/relationships" r:embed="rId3" cstate="print"/>
        <a:srcRect/>
        <a:stretch>
          <a:fillRect/>
        </a:stretch>
      </xdr:blipFill>
      <xdr:spPr bwMode="auto">
        <a:xfrm>
          <a:off x="5991225" y="1981200"/>
          <a:ext cx="3257549" cy="1476375"/>
        </a:xfrm>
        <a:prstGeom prst="rect">
          <a:avLst/>
        </a:prstGeom>
        <a:noFill/>
        <a:ln w="1">
          <a:noFill/>
          <a:miter lim="800000"/>
          <a:headEnd/>
          <a:tailEnd type="none" w="med" len="med"/>
        </a:ln>
        <a:effectLst/>
      </xdr:spPr>
    </xdr:pic>
    <xdr:clientData/>
  </xdr:twoCellAnchor>
  <xdr:twoCellAnchor editAs="oneCell">
    <xdr:from>
      <xdr:col>8</xdr:col>
      <xdr:colOff>171450</xdr:colOff>
      <xdr:row>38</xdr:row>
      <xdr:rowOff>9525</xdr:rowOff>
    </xdr:from>
    <xdr:to>
      <xdr:col>16</xdr:col>
      <xdr:colOff>28575</xdr:colOff>
      <xdr:row>56</xdr:row>
      <xdr:rowOff>200025</xdr:rowOff>
    </xdr:to>
    <xdr:pic>
      <xdr:nvPicPr>
        <xdr:cNvPr id="13319" name="Picture 7"/>
        <xdr:cNvPicPr>
          <a:picLocks noChangeAspect="1" noChangeArrowheads="1"/>
        </xdr:cNvPicPr>
      </xdr:nvPicPr>
      <xdr:blipFill>
        <a:blip xmlns:r="http://schemas.openxmlformats.org/officeDocument/2006/relationships" r:embed="rId4" cstate="print"/>
        <a:srcRect/>
        <a:stretch>
          <a:fillRect/>
        </a:stretch>
      </xdr:blipFill>
      <xdr:spPr bwMode="auto">
        <a:xfrm>
          <a:off x="9115425" y="8477250"/>
          <a:ext cx="5676900" cy="4648200"/>
        </a:xfrm>
        <a:prstGeom prst="rect">
          <a:avLst/>
        </a:prstGeom>
        <a:noFill/>
        <a:ln w="1">
          <a:noFill/>
          <a:miter lim="800000"/>
          <a:headEnd/>
          <a:tailEnd type="none" w="med" len="med"/>
        </a:ln>
        <a:effectLst/>
      </xdr:spPr>
    </xdr:pic>
    <xdr:clientData/>
  </xdr:twoCellAnchor>
  <xdr:twoCellAnchor editAs="oneCell">
    <xdr:from>
      <xdr:col>16</xdr:col>
      <xdr:colOff>342900</xdr:colOff>
      <xdr:row>38</xdr:row>
      <xdr:rowOff>19050</xdr:rowOff>
    </xdr:from>
    <xdr:to>
      <xdr:col>24</xdr:col>
      <xdr:colOff>142875</xdr:colOff>
      <xdr:row>62</xdr:row>
      <xdr:rowOff>142875</xdr:rowOff>
    </xdr:to>
    <xdr:pic>
      <xdr:nvPicPr>
        <xdr:cNvPr id="13320" name="Picture 8"/>
        <xdr:cNvPicPr>
          <a:picLocks noChangeAspect="1" noChangeArrowheads="1"/>
        </xdr:cNvPicPr>
      </xdr:nvPicPr>
      <xdr:blipFill>
        <a:blip xmlns:r="http://schemas.openxmlformats.org/officeDocument/2006/relationships" r:embed="rId5" cstate="print"/>
        <a:srcRect/>
        <a:stretch>
          <a:fillRect/>
        </a:stretch>
      </xdr:blipFill>
      <xdr:spPr bwMode="auto">
        <a:xfrm>
          <a:off x="14697075" y="8486775"/>
          <a:ext cx="5667375" cy="6067425"/>
        </a:xfrm>
        <a:prstGeom prst="rect">
          <a:avLst/>
        </a:prstGeom>
        <a:noFill/>
        <a:ln w="1">
          <a:noFill/>
          <a:miter lim="800000"/>
          <a:headEnd/>
          <a:tailEnd type="none" w="med" len="med"/>
        </a:ln>
        <a:effectLst/>
      </xdr:spPr>
    </xdr:pic>
    <xdr:clientData/>
  </xdr:twoCellAnchor>
  <xdr:twoCellAnchor editAs="oneCell">
    <xdr:from>
      <xdr:col>5</xdr:col>
      <xdr:colOff>0</xdr:colOff>
      <xdr:row>38</xdr:row>
      <xdr:rowOff>0</xdr:rowOff>
    </xdr:from>
    <xdr:to>
      <xdr:col>7</xdr:col>
      <xdr:colOff>628650</xdr:colOff>
      <xdr:row>43</xdr:row>
      <xdr:rowOff>133350</xdr:rowOff>
    </xdr:to>
    <xdr:pic>
      <xdr:nvPicPr>
        <xdr:cNvPr id="13325" name="Picture 13"/>
        <xdr:cNvPicPr>
          <a:picLocks noChangeAspect="1" noChangeArrowheads="1"/>
        </xdr:cNvPicPr>
      </xdr:nvPicPr>
      <xdr:blipFill>
        <a:blip xmlns:r="http://schemas.openxmlformats.org/officeDocument/2006/relationships" r:embed="rId6" cstate="print"/>
        <a:srcRect/>
        <a:stretch>
          <a:fillRect/>
        </a:stretch>
      </xdr:blipFill>
      <xdr:spPr bwMode="auto">
        <a:xfrm>
          <a:off x="5457825" y="14163675"/>
          <a:ext cx="2733675" cy="1371600"/>
        </a:xfrm>
        <a:prstGeom prst="rect">
          <a:avLst/>
        </a:prstGeom>
        <a:noFill/>
        <a:ln w="1">
          <a:noFill/>
          <a:miter lim="800000"/>
          <a:headEnd/>
          <a:tailEnd type="none" w="med" len="med"/>
        </a:ln>
        <a:effectLst/>
      </xdr:spPr>
    </xdr:pic>
    <xdr:clientData/>
  </xdr:twoCellAnchor>
  <xdr:oneCellAnchor>
    <xdr:from>
      <xdr:col>6</xdr:col>
      <xdr:colOff>733425</xdr:colOff>
      <xdr:row>0</xdr:row>
      <xdr:rowOff>0</xdr:rowOff>
    </xdr:from>
    <xdr:ext cx="1454244" cy="334451"/>
    <xdr:sp macro="" textlink="">
      <xdr:nvSpPr>
        <xdr:cNvPr id="28" name="TextBox 27"/>
        <xdr:cNvSpPr txBox="1"/>
      </xdr:nvSpPr>
      <xdr:spPr>
        <a:xfrm>
          <a:off x="7286625" y="0"/>
          <a:ext cx="1454244" cy="334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100">
              <a:latin typeface="微软雅黑" pitchFamily="34" charset="-122"/>
              <a:ea typeface="微软雅黑" pitchFamily="34" charset="-122"/>
            </a:rPr>
            <a:t>负载运行速度示意图</a:t>
          </a:r>
        </a:p>
      </xdr:txBody>
    </xdr:sp>
    <xdr:clientData/>
  </xdr:oneCellAnchor>
  <xdr:twoCellAnchor>
    <xdr:from>
      <xdr:col>5</xdr:col>
      <xdr:colOff>752475</xdr:colOff>
      <xdr:row>72</xdr:row>
      <xdr:rowOff>95250</xdr:rowOff>
    </xdr:from>
    <xdr:to>
      <xdr:col>7</xdr:col>
      <xdr:colOff>180975</xdr:colOff>
      <xdr:row>72</xdr:row>
      <xdr:rowOff>95250</xdr:rowOff>
    </xdr:to>
    <xdr:cxnSp macro="">
      <xdr:nvCxnSpPr>
        <xdr:cNvPr id="35" name="直接箭头连接符 34"/>
        <xdr:cNvCxnSpPr/>
      </xdr:nvCxnSpPr>
      <xdr:spPr>
        <a:xfrm>
          <a:off x="6391275" y="18221325"/>
          <a:ext cx="1533525" cy="0"/>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5</xdr:col>
      <xdr:colOff>19050</xdr:colOff>
      <xdr:row>60</xdr:row>
      <xdr:rowOff>38100</xdr:rowOff>
    </xdr:from>
    <xdr:to>
      <xdr:col>11</xdr:col>
      <xdr:colOff>123825</xdr:colOff>
      <xdr:row>80</xdr:row>
      <xdr:rowOff>180975</xdr:rowOff>
    </xdr:to>
    <xdr:pic>
      <xdr:nvPicPr>
        <xdr:cNvPr id="13330" name="Picture 18"/>
        <xdr:cNvPicPr>
          <a:picLocks noChangeAspect="1" noChangeArrowheads="1"/>
        </xdr:cNvPicPr>
      </xdr:nvPicPr>
      <xdr:blipFill>
        <a:blip xmlns:r="http://schemas.openxmlformats.org/officeDocument/2006/relationships" r:embed="rId7" cstate="print"/>
        <a:srcRect/>
        <a:stretch>
          <a:fillRect/>
        </a:stretch>
      </xdr:blipFill>
      <xdr:spPr bwMode="auto">
        <a:xfrm>
          <a:off x="6048375" y="14944725"/>
          <a:ext cx="5610225" cy="5095875"/>
        </a:xfrm>
        <a:prstGeom prst="rect">
          <a:avLst/>
        </a:prstGeom>
        <a:noFill/>
        <a:ln w="1">
          <a:noFill/>
          <a:miter lim="800000"/>
          <a:headEnd/>
          <a:tailEnd type="none" w="med" len="med"/>
        </a:ln>
        <a:effectLst/>
      </xdr:spPr>
    </xdr:pic>
    <xdr:clientData/>
  </xdr:twoCellAnchor>
  <xdr:twoCellAnchor editAs="oneCell">
    <xdr:from>
      <xdr:col>8</xdr:col>
      <xdr:colOff>419101</xdr:colOff>
      <xdr:row>8</xdr:row>
      <xdr:rowOff>171450</xdr:rowOff>
    </xdr:from>
    <xdr:to>
      <xdr:col>12</xdr:col>
      <xdr:colOff>400050</xdr:colOff>
      <xdr:row>13</xdr:row>
      <xdr:rowOff>130125</xdr:rowOff>
    </xdr:to>
    <xdr:pic>
      <xdr:nvPicPr>
        <xdr:cNvPr id="13336" name="Picture 24"/>
        <xdr:cNvPicPr>
          <a:picLocks noChangeAspect="1" noChangeArrowheads="1"/>
        </xdr:cNvPicPr>
      </xdr:nvPicPr>
      <xdr:blipFill>
        <a:blip xmlns:r="http://schemas.openxmlformats.org/officeDocument/2006/relationships" r:embed="rId8" cstate="print"/>
        <a:srcRect/>
        <a:stretch>
          <a:fillRect/>
        </a:stretch>
      </xdr:blipFill>
      <xdr:spPr bwMode="auto">
        <a:xfrm>
          <a:off x="9363076" y="2200275"/>
          <a:ext cx="3152774" cy="1196925"/>
        </a:xfrm>
        <a:prstGeom prst="rect">
          <a:avLst/>
        </a:prstGeom>
        <a:noFill/>
        <a:ln w="1">
          <a:noFill/>
          <a:miter lim="800000"/>
          <a:headEnd/>
          <a:tailEnd type="none" w="med" len="med"/>
        </a:ln>
        <a:effectLst/>
      </xdr:spPr>
    </xdr:pic>
    <xdr:clientData/>
  </xdr:twoCellAnchor>
  <xdr:twoCellAnchor editAs="oneCell">
    <xdr:from>
      <xdr:col>12</xdr:col>
      <xdr:colOff>523875</xdr:colOff>
      <xdr:row>9</xdr:row>
      <xdr:rowOff>57149</xdr:rowOff>
    </xdr:from>
    <xdr:to>
      <xdr:col>17</xdr:col>
      <xdr:colOff>409575</xdr:colOff>
      <xdr:row>12</xdr:row>
      <xdr:rowOff>200024</xdr:rowOff>
    </xdr:to>
    <xdr:pic>
      <xdr:nvPicPr>
        <xdr:cNvPr id="13337" name="Picture 25"/>
        <xdr:cNvPicPr>
          <a:picLocks noChangeAspect="1" noChangeArrowheads="1"/>
        </xdr:cNvPicPr>
      </xdr:nvPicPr>
      <xdr:blipFill>
        <a:blip xmlns:r="http://schemas.openxmlformats.org/officeDocument/2006/relationships" r:embed="rId9" cstate="print"/>
        <a:srcRect/>
        <a:stretch>
          <a:fillRect/>
        </a:stretch>
      </xdr:blipFill>
      <xdr:spPr bwMode="auto">
        <a:xfrm>
          <a:off x="12639675" y="2333624"/>
          <a:ext cx="3343275" cy="885825"/>
        </a:xfrm>
        <a:prstGeom prst="rect">
          <a:avLst/>
        </a:prstGeom>
        <a:noFill/>
        <a:ln w="1">
          <a:noFill/>
          <a:miter lim="800000"/>
          <a:headEnd/>
          <a:tailEnd type="none" w="med" len="med"/>
        </a:ln>
        <a:effectLst/>
      </xdr:spPr>
    </xdr:pic>
    <xdr:clientData/>
  </xdr:twoCellAnchor>
  <xdr:twoCellAnchor editAs="oneCell">
    <xdr:from>
      <xdr:col>9</xdr:col>
      <xdr:colOff>1</xdr:colOff>
      <xdr:row>0</xdr:row>
      <xdr:rowOff>0</xdr:rowOff>
    </xdr:from>
    <xdr:to>
      <xdr:col>11</xdr:col>
      <xdr:colOff>485776</xdr:colOff>
      <xdr:row>4</xdr:row>
      <xdr:rowOff>101356</xdr:rowOff>
    </xdr:to>
    <xdr:pic>
      <xdr:nvPicPr>
        <xdr:cNvPr id="13338" name="Picture 26"/>
        <xdr:cNvPicPr>
          <a:picLocks noChangeAspect="1" noChangeArrowheads="1"/>
        </xdr:cNvPicPr>
      </xdr:nvPicPr>
      <xdr:blipFill>
        <a:blip xmlns:r="http://schemas.openxmlformats.org/officeDocument/2006/relationships" r:embed="rId10" cstate="print"/>
        <a:srcRect/>
        <a:stretch>
          <a:fillRect/>
        </a:stretch>
      </xdr:blipFill>
      <xdr:spPr bwMode="auto">
        <a:xfrm>
          <a:off x="9753601" y="0"/>
          <a:ext cx="2266950" cy="1120531"/>
        </a:xfrm>
        <a:prstGeom prst="rect">
          <a:avLst/>
        </a:prstGeom>
        <a:noFill/>
        <a:ln w="1">
          <a:noFill/>
          <a:miter lim="800000"/>
          <a:headEnd/>
          <a:tailEnd type="none" w="med" len="med"/>
        </a:ln>
        <a:effectLst/>
      </xdr:spPr>
    </xdr:pic>
    <xdr:clientData/>
  </xdr:twoCellAnchor>
  <xdr:twoCellAnchor editAs="oneCell">
    <xdr:from>
      <xdr:col>5</xdr:col>
      <xdr:colOff>0</xdr:colOff>
      <xdr:row>45</xdr:row>
      <xdr:rowOff>0</xdr:rowOff>
    </xdr:from>
    <xdr:to>
      <xdr:col>7</xdr:col>
      <xdr:colOff>428625</xdr:colOff>
      <xdr:row>51</xdr:row>
      <xdr:rowOff>85725</xdr:rowOff>
    </xdr:to>
    <xdr:pic>
      <xdr:nvPicPr>
        <xdr:cNvPr id="29" name="Picture 19"/>
        <xdr:cNvPicPr>
          <a:picLocks noChangeAspect="1" noChangeArrowheads="1"/>
        </xdr:cNvPicPr>
      </xdr:nvPicPr>
      <xdr:blipFill>
        <a:blip xmlns:r="http://schemas.openxmlformats.org/officeDocument/2006/relationships" r:embed="rId11" cstate="print"/>
        <a:srcRect/>
        <a:stretch>
          <a:fillRect/>
        </a:stretch>
      </xdr:blipFill>
      <xdr:spPr bwMode="auto">
        <a:xfrm>
          <a:off x="6029325" y="10201275"/>
          <a:ext cx="2533650" cy="157162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15" name="五边形 14">
          <a:hlinkClick xmlns:r="http://schemas.openxmlformats.org/officeDocument/2006/relationships" r:id="rId12"/>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4</xdr:col>
      <xdr:colOff>371476</xdr:colOff>
      <xdr:row>2</xdr:row>
      <xdr:rowOff>28576</xdr:rowOff>
    </xdr:from>
    <xdr:to>
      <xdr:col>6</xdr:col>
      <xdr:colOff>1619251</xdr:colOff>
      <xdr:row>7</xdr:row>
      <xdr:rowOff>142876</xdr:rowOff>
    </xdr:to>
    <xdr:pic>
      <xdr:nvPicPr>
        <xdr:cNvPr id="13318"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6343651" y="571501"/>
          <a:ext cx="3181350" cy="1352550"/>
        </a:xfrm>
        <a:prstGeom prst="rect">
          <a:avLst/>
        </a:prstGeom>
        <a:noFill/>
        <a:ln w="1">
          <a:noFill/>
          <a:miter lim="800000"/>
          <a:headEnd/>
          <a:tailEnd type="none" w="med" len="med"/>
        </a:ln>
        <a:effectLst/>
      </xdr:spPr>
    </xdr:pic>
    <xdr:clientData/>
  </xdr:twoCellAnchor>
  <xdr:twoCellAnchor editAs="oneCell">
    <xdr:from>
      <xdr:col>4</xdr:col>
      <xdr:colOff>523874</xdr:colOff>
      <xdr:row>9</xdr:row>
      <xdr:rowOff>0</xdr:rowOff>
    </xdr:from>
    <xdr:to>
      <xdr:col>8</xdr:col>
      <xdr:colOff>1333499</xdr:colOff>
      <xdr:row>13</xdr:row>
      <xdr:rowOff>190499</xdr:rowOff>
    </xdr:to>
    <xdr:pic>
      <xdr:nvPicPr>
        <xdr:cNvPr id="13321" name="Picture 9"/>
        <xdr:cNvPicPr>
          <a:picLocks noChangeAspect="1" noChangeArrowheads="1"/>
        </xdr:cNvPicPr>
      </xdr:nvPicPr>
      <xdr:blipFill>
        <a:blip xmlns:r="http://schemas.openxmlformats.org/officeDocument/2006/relationships" r:embed="rId2" cstate="print"/>
        <a:srcRect/>
        <a:stretch>
          <a:fillRect/>
        </a:stretch>
      </xdr:blipFill>
      <xdr:spPr bwMode="auto">
        <a:xfrm>
          <a:off x="6496049" y="2276475"/>
          <a:ext cx="5819775" cy="1181099"/>
        </a:xfrm>
        <a:prstGeom prst="rect">
          <a:avLst/>
        </a:prstGeom>
        <a:noFill/>
        <a:ln w="1">
          <a:noFill/>
          <a:miter lim="800000"/>
          <a:headEnd/>
          <a:tailEnd type="none" w="med" len="med"/>
        </a:ln>
        <a:effectLst/>
      </xdr:spPr>
    </xdr:pic>
    <xdr:clientData/>
  </xdr:twoCellAnchor>
  <xdr:twoCellAnchor editAs="oneCell">
    <xdr:from>
      <xdr:col>3</xdr:col>
      <xdr:colOff>9525</xdr:colOff>
      <xdr:row>3</xdr:row>
      <xdr:rowOff>9526</xdr:rowOff>
    </xdr:from>
    <xdr:to>
      <xdr:col>3</xdr:col>
      <xdr:colOff>1333501</xdr:colOff>
      <xdr:row>6</xdr:row>
      <xdr:rowOff>104775</xdr:rowOff>
    </xdr:to>
    <xdr:pic>
      <xdr:nvPicPr>
        <xdr:cNvPr id="13323" name="Picture 11"/>
        <xdr:cNvPicPr>
          <a:picLocks noChangeAspect="1" noChangeArrowheads="1"/>
        </xdr:cNvPicPr>
      </xdr:nvPicPr>
      <xdr:blipFill>
        <a:blip xmlns:r="http://schemas.openxmlformats.org/officeDocument/2006/relationships" r:embed="rId3" cstate="print"/>
        <a:srcRect/>
        <a:stretch>
          <a:fillRect/>
        </a:stretch>
      </xdr:blipFill>
      <xdr:spPr bwMode="auto">
        <a:xfrm>
          <a:off x="3886200" y="800101"/>
          <a:ext cx="1323976" cy="838199"/>
        </a:xfrm>
        <a:prstGeom prst="rect">
          <a:avLst/>
        </a:prstGeom>
        <a:noFill/>
        <a:ln w="1">
          <a:noFill/>
          <a:miter lim="800000"/>
          <a:headEnd/>
          <a:tailEnd type="none" w="med" len="med"/>
        </a:ln>
        <a:effectLst/>
      </xdr:spPr>
    </xdr:pic>
    <xdr:clientData/>
  </xdr:twoCellAnchor>
  <xdr:twoCellAnchor editAs="oneCell">
    <xdr:from>
      <xdr:col>3</xdr:col>
      <xdr:colOff>9525</xdr:colOff>
      <xdr:row>86</xdr:row>
      <xdr:rowOff>209550</xdr:rowOff>
    </xdr:from>
    <xdr:to>
      <xdr:col>3</xdr:col>
      <xdr:colOff>1577729</xdr:colOff>
      <xdr:row>91</xdr:row>
      <xdr:rowOff>133350</xdr:rowOff>
    </xdr:to>
    <xdr:pic>
      <xdr:nvPicPr>
        <xdr:cNvPr id="13326" name="Picture 14"/>
        <xdr:cNvPicPr>
          <a:picLocks noChangeAspect="1" noChangeArrowheads="1"/>
        </xdr:cNvPicPr>
      </xdr:nvPicPr>
      <xdr:blipFill>
        <a:blip xmlns:r="http://schemas.openxmlformats.org/officeDocument/2006/relationships" r:embed="rId4" cstate="print"/>
        <a:srcRect/>
        <a:stretch>
          <a:fillRect/>
        </a:stretch>
      </xdr:blipFill>
      <xdr:spPr bwMode="auto">
        <a:xfrm>
          <a:off x="3886200" y="13877925"/>
          <a:ext cx="1568204" cy="1162050"/>
        </a:xfrm>
        <a:prstGeom prst="rect">
          <a:avLst/>
        </a:prstGeom>
        <a:noFill/>
        <a:ln w="1">
          <a:noFill/>
          <a:miter lim="800000"/>
          <a:headEnd/>
          <a:tailEnd type="none" w="med" len="med"/>
        </a:ln>
        <a:effectLst/>
      </xdr:spPr>
    </xdr:pic>
    <xdr:clientData/>
  </xdr:twoCellAnchor>
  <xdr:twoCellAnchor editAs="oneCell">
    <xdr:from>
      <xdr:col>4</xdr:col>
      <xdr:colOff>581025</xdr:colOff>
      <xdr:row>35</xdr:row>
      <xdr:rowOff>9525</xdr:rowOff>
    </xdr:from>
    <xdr:to>
      <xdr:col>8</xdr:col>
      <xdr:colOff>975836</xdr:colOff>
      <xdr:row>46</xdr:row>
      <xdr:rowOff>57150</xdr:rowOff>
    </xdr:to>
    <xdr:pic>
      <xdr:nvPicPr>
        <xdr:cNvPr id="13327" name="Picture 15"/>
        <xdr:cNvPicPr>
          <a:picLocks noChangeAspect="1" noChangeArrowheads="1"/>
        </xdr:cNvPicPr>
      </xdr:nvPicPr>
      <xdr:blipFill>
        <a:blip xmlns:r="http://schemas.openxmlformats.org/officeDocument/2006/relationships" r:embed="rId5" cstate="print"/>
        <a:srcRect/>
        <a:stretch>
          <a:fillRect/>
        </a:stretch>
      </xdr:blipFill>
      <xdr:spPr bwMode="auto">
        <a:xfrm>
          <a:off x="6991350" y="8724900"/>
          <a:ext cx="5404961" cy="2771775"/>
        </a:xfrm>
        <a:prstGeom prst="rect">
          <a:avLst/>
        </a:prstGeom>
        <a:noFill/>
        <a:ln w="1">
          <a:noFill/>
          <a:miter lim="800000"/>
          <a:headEnd/>
          <a:tailEnd type="none" w="med" len="med"/>
        </a:ln>
        <a:effectLst/>
      </xdr:spPr>
    </xdr:pic>
    <xdr:clientData/>
  </xdr:twoCellAnchor>
  <xdr:twoCellAnchor editAs="oneCell">
    <xdr:from>
      <xdr:col>3</xdr:col>
      <xdr:colOff>14285</xdr:colOff>
      <xdr:row>6</xdr:row>
      <xdr:rowOff>123825</xdr:rowOff>
    </xdr:from>
    <xdr:to>
      <xdr:col>3</xdr:col>
      <xdr:colOff>1333500</xdr:colOff>
      <xdr:row>10</xdr:row>
      <xdr:rowOff>195264</xdr:rowOff>
    </xdr:to>
    <xdr:pic>
      <xdr:nvPicPr>
        <xdr:cNvPr id="13328" name="Picture 16"/>
        <xdr:cNvPicPr>
          <a:picLocks noChangeAspect="1" noChangeArrowheads="1"/>
        </xdr:cNvPicPr>
      </xdr:nvPicPr>
      <xdr:blipFill>
        <a:blip xmlns:r="http://schemas.openxmlformats.org/officeDocument/2006/relationships" r:embed="rId6" cstate="print"/>
        <a:srcRect/>
        <a:stretch>
          <a:fillRect/>
        </a:stretch>
      </xdr:blipFill>
      <xdr:spPr bwMode="auto">
        <a:xfrm>
          <a:off x="4348160" y="1657350"/>
          <a:ext cx="1319215" cy="1062039"/>
        </a:xfrm>
        <a:prstGeom prst="rect">
          <a:avLst/>
        </a:prstGeom>
        <a:noFill/>
        <a:ln w="1">
          <a:noFill/>
          <a:miter lim="800000"/>
          <a:headEnd/>
          <a:tailEnd type="none" w="med" len="med"/>
        </a:ln>
        <a:effectLst/>
      </xdr:spPr>
    </xdr:pic>
    <xdr:clientData/>
  </xdr:twoCellAnchor>
  <xdr:twoCellAnchor editAs="oneCell">
    <xdr:from>
      <xdr:col>3</xdr:col>
      <xdr:colOff>9526</xdr:colOff>
      <xdr:row>81</xdr:row>
      <xdr:rowOff>9525</xdr:rowOff>
    </xdr:from>
    <xdr:to>
      <xdr:col>4</xdr:col>
      <xdr:colOff>152400</xdr:colOff>
      <xdr:row>86</xdr:row>
      <xdr:rowOff>114300</xdr:rowOff>
    </xdr:to>
    <xdr:pic>
      <xdr:nvPicPr>
        <xdr:cNvPr id="13332" name="Picture 20"/>
        <xdr:cNvPicPr>
          <a:picLocks noChangeAspect="1" noChangeArrowheads="1"/>
        </xdr:cNvPicPr>
      </xdr:nvPicPr>
      <xdr:blipFill>
        <a:blip xmlns:r="http://schemas.openxmlformats.org/officeDocument/2006/relationships" r:embed="rId7" cstate="print"/>
        <a:srcRect/>
        <a:stretch>
          <a:fillRect/>
        </a:stretch>
      </xdr:blipFill>
      <xdr:spPr bwMode="auto">
        <a:xfrm>
          <a:off x="3886201" y="12439650"/>
          <a:ext cx="1819274" cy="1343025"/>
        </a:xfrm>
        <a:prstGeom prst="rect">
          <a:avLst/>
        </a:prstGeom>
        <a:noFill/>
        <a:ln w="1">
          <a:noFill/>
          <a:miter lim="800000"/>
          <a:headEnd/>
          <a:tailEnd type="none" w="med" len="med"/>
        </a:ln>
        <a:effectLst/>
      </xdr:spPr>
    </xdr:pic>
    <xdr:clientData/>
  </xdr:twoCellAnchor>
  <xdr:twoCellAnchor editAs="oneCell">
    <xdr:from>
      <xdr:col>3</xdr:col>
      <xdr:colOff>9525</xdr:colOff>
      <xdr:row>36</xdr:row>
      <xdr:rowOff>9525</xdr:rowOff>
    </xdr:from>
    <xdr:to>
      <xdr:col>4</xdr:col>
      <xdr:colOff>38100</xdr:colOff>
      <xdr:row>41</xdr:row>
      <xdr:rowOff>75508</xdr:rowOff>
    </xdr:to>
    <xdr:pic>
      <xdr:nvPicPr>
        <xdr:cNvPr id="13334" name="Picture 22"/>
        <xdr:cNvPicPr>
          <a:picLocks noChangeAspect="1" noChangeArrowheads="1"/>
        </xdr:cNvPicPr>
      </xdr:nvPicPr>
      <xdr:blipFill>
        <a:blip xmlns:r="http://schemas.openxmlformats.org/officeDocument/2006/relationships" r:embed="rId8" cstate="print"/>
        <a:srcRect/>
        <a:stretch>
          <a:fillRect/>
        </a:stretch>
      </xdr:blipFill>
      <xdr:spPr bwMode="auto">
        <a:xfrm>
          <a:off x="3886200" y="7239000"/>
          <a:ext cx="1704975" cy="1304233"/>
        </a:xfrm>
        <a:prstGeom prst="rect">
          <a:avLst/>
        </a:prstGeom>
        <a:noFill/>
        <a:ln w="1">
          <a:noFill/>
          <a:miter lim="800000"/>
          <a:headEnd/>
          <a:tailEnd type="none" w="med" len="med"/>
        </a:ln>
        <a:effectLst/>
      </xdr:spPr>
    </xdr:pic>
    <xdr:clientData/>
  </xdr:twoCellAnchor>
  <xdr:twoCellAnchor editAs="oneCell">
    <xdr:from>
      <xdr:col>3</xdr:col>
      <xdr:colOff>9525</xdr:colOff>
      <xdr:row>45</xdr:row>
      <xdr:rowOff>57150</xdr:rowOff>
    </xdr:from>
    <xdr:to>
      <xdr:col>3</xdr:col>
      <xdr:colOff>1323975</xdr:colOff>
      <xdr:row>49</xdr:row>
      <xdr:rowOff>66675</xdr:rowOff>
    </xdr:to>
    <xdr:pic>
      <xdr:nvPicPr>
        <xdr:cNvPr id="40" name="Picture 8"/>
        <xdr:cNvPicPr>
          <a:picLocks noChangeAspect="1" noChangeArrowheads="1"/>
        </xdr:cNvPicPr>
      </xdr:nvPicPr>
      <xdr:blipFill>
        <a:blip xmlns:r="http://schemas.openxmlformats.org/officeDocument/2006/relationships" r:embed="rId9" cstate="print"/>
        <a:srcRect/>
        <a:stretch>
          <a:fillRect/>
        </a:stretch>
      </xdr:blipFill>
      <xdr:spPr bwMode="auto">
        <a:xfrm>
          <a:off x="4000500" y="10258425"/>
          <a:ext cx="1314450" cy="1000125"/>
        </a:xfrm>
        <a:prstGeom prst="rect">
          <a:avLst/>
        </a:prstGeom>
        <a:noFill/>
      </xdr:spPr>
    </xdr:pic>
    <xdr:clientData/>
  </xdr:twoCellAnchor>
  <xdr:twoCellAnchor editAs="oneCell">
    <xdr:from>
      <xdr:col>4</xdr:col>
      <xdr:colOff>561975</xdr:colOff>
      <xdr:row>80</xdr:row>
      <xdr:rowOff>9525</xdr:rowOff>
    </xdr:from>
    <xdr:to>
      <xdr:col>8</xdr:col>
      <xdr:colOff>956786</xdr:colOff>
      <xdr:row>91</xdr:row>
      <xdr:rowOff>57150</xdr:rowOff>
    </xdr:to>
    <xdr:pic>
      <xdr:nvPicPr>
        <xdr:cNvPr id="41" name="Picture 15"/>
        <xdr:cNvPicPr>
          <a:picLocks noChangeAspect="1" noChangeArrowheads="1"/>
        </xdr:cNvPicPr>
      </xdr:nvPicPr>
      <xdr:blipFill>
        <a:blip xmlns:r="http://schemas.openxmlformats.org/officeDocument/2006/relationships" r:embed="rId5" cstate="print"/>
        <a:srcRect/>
        <a:stretch>
          <a:fillRect/>
        </a:stretch>
      </xdr:blipFill>
      <xdr:spPr bwMode="auto">
        <a:xfrm>
          <a:off x="6972300" y="19869150"/>
          <a:ext cx="5404961" cy="2771775"/>
        </a:xfrm>
        <a:prstGeom prst="rect">
          <a:avLst/>
        </a:prstGeom>
        <a:noFill/>
        <a:ln w="1">
          <a:noFill/>
          <a:miter lim="800000"/>
          <a:headEnd/>
          <a:tailEnd type="none" w="med" len="med"/>
        </a:ln>
        <a:effectLst/>
      </xdr:spPr>
    </xdr:pic>
    <xdr:clientData/>
  </xdr:twoCellAnchor>
  <xdr:twoCellAnchor editAs="oneCell">
    <xdr:from>
      <xdr:col>3</xdr:col>
      <xdr:colOff>9525</xdr:colOff>
      <xdr:row>133</xdr:row>
      <xdr:rowOff>19050</xdr:rowOff>
    </xdr:from>
    <xdr:to>
      <xdr:col>3</xdr:col>
      <xdr:colOff>1638300</xdr:colOff>
      <xdr:row>137</xdr:row>
      <xdr:rowOff>0</xdr:rowOff>
    </xdr:to>
    <xdr:pic>
      <xdr:nvPicPr>
        <xdr:cNvPr id="44" name="Picture 17"/>
        <xdr:cNvPicPr>
          <a:picLocks noChangeAspect="1" noChangeArrowheads="1"/>
        </xdr:cNvPicPr>
      </xdr:nvPicPr>
      <xdr:blipFill>
        <a:blip xmlns:r="http://schemas.openxmlformats.org/officeDocument/2006/relationships" r:embed="rId10" cstate="print"/>
        <a:srcRect/>
        <a:stretch>
          <a:fillRect/>
        </a:stretch>
      </xdr:blipFill>
      <xdr:spPr bwMode="auto">
        <a:xfrm>
          <a:off x="4343400" y="32013525"/>
          <a:ext cx="1628775" cy="971550"/>
        </a:xfrm>
        <a:prstGeom prst="rect">
          <a:avLst/>
        </a:prstGeom>
        <a:noFill/>
        <a:ln w="1">
          <a:noFill/>
          <a:miter lim="800000"/>
          <a:headEnd/>
          <a:tailEnd type="none" w="med" len="med"/>
        </a:ln>
        <a:effectLst/>
      </xdr:spPr>
    </xdr:pic>
    <xdr:clientData/>
  </xdr:twoCellAnchor>
  <xdr:twoCellAnchor editAs="oneCell">
    <xdr:from>
      <xdr:col>3</xdr:col>
      <xdr:colOff>9526</xdr:colOff>
      <xdr:row>128</xdr:row>
      <xdr:rowOff>219076</xdr:rowOff>
    </xdr:from>
    <xdr:to>
      <xdr:col>3</xdr:col>
      <xdr:colOff>1638300</xdr:colOff>
      <xdr:row>132</xdr:row>
      <xdr:rowOff>238125</xdr:rowOff>
    </xdr:to>
    <xdr:pic>
      <xdr:nvPicPr>
        <xdr:cNvPr id="13340" name="Picture 28"/>
        <xdr:cNvPicPr>
          <a:picLocks noChangeAspect="1" noChangeArrowheads="1"/>
        </xdr:cNvPicPr>
      </xdr:nvPicPr>
      <xdr:blipFill>
        <a:blip xmlns:r="http://schemas.openxmlformats.org/officeDocument/2006/relationships" r:embed="rId11" cstate="print"/>
        <a:srcRect/>
        <a:stretch>
          <a:fillRect/>
        </a:stretch>
      </xdr:blipFill>
      <xdr:spPr bwMode="auto">
        <a:xfrm>
          <a:off x="4343401" y="30975301"/>
          <a:ext cx="1628774" cy="1009649"/>
        </a:xfrm>
        <a:prstGeom prst="rect">
          <a:avLst/>
        </a:prstGeom>
        <a:noFill/>
        <a:ln w="1">
          <a:noFill/>
          <a:miter lim="800000"/>
          <a:headEnd/>
          <a:tailEnd type="none" w="med" len="med"/>
        </a:ln>
        <a:effectLst/>
      </xdr:spPr>
    </xdr:pic>
    <xdr:clientData/>
  </xdr:twoCellAnchor>
  <xdr:twoCellAnchor editAs="oneCell">
    <xdr:from>
      <xdr:col>4</xdr:col>
      <xdr:colOff>514350</xdr:colOff>
      <xdr:row>128</xdr:row>
      <xdr:rowOff>9526</xdr:rowOff>
    </xdr:from>
    <xdr:to>
      <xdr:col>8</xdr:col>
      <xdr:colOff>872305</xdr:colOff>
      <xdr:row>138</xdr:row>
      <xdr:rowOff>200026</xdr:rowOff>
    </xdr:to>
    <xdr:pic>
      <xdr:nvPicPr>
        <xdr:cNvPr id="13342" name="Picture 30"/>
        <xdr:cNvPicPr>
          <a:picLocks noChangeAspect="1" noChangeArrowheads="1"/>
        </xdr:cNvPicPr>
      </xdr:nvPicPr>
      <xdr:blipFill>
        <a:blip xmlns:r="http://schemas.openxmlformats.org/officeDocument/2006/relationships" r:embed="rId12" cstate="print"/>
        <a:srcRect/>
        <a:stretch>
          <a:fillRect/>
        </a:stretch>
      </xdr:blipFill>
      <xdr:spPr bwMode="auto">
        <a:xfrm>
          <a:off x="6924675" y="31756351"/>
          <a:ext cx="5368105" cy="2667000"/>
        </a:xfrm>
        <a:prstGeom prst="rect">
          <a:avLst/>
        </a:prstGeom>
        <a:noFill/>
        <a:ln w="1">
          <a:noFill/>
          <a:miter lim="800000"/>
          <a:headEnd/>
          <a:tailEnd type="none" w="med" len="med"/>
        </a:ln>
        <a:effectLst/>
      </xdr:spPr>
    </xdr:pic>
    <xdr:clientData/>
  </xdr:twoCellAnchor>
  <xdr:twoCellAnchor editAs="oneCell">
    <xdr:from>
      <xdr:col>4</xdr:col>
      <xdr:colOff>552450</xdr:colOff>
      <xdr:row>14</xdr:row>
      <xdr:rowOff>247649</xdr:rowOff>
    </xdr:from>
    <xdr:to>
      <xdr:col>9</xdr:col>
      <xdr:colOff>9525</xdr:colOff>
      <xdr:row>29</xdr:row>
      <xdr:rowOff>219074</xdr:rowOff>
    </xdr:to>
    <xdr:pic>
      <xdr:nvPicPr>
        <xdr:cNvPr id="13313" name="Picture 1"/>
        <xdr:cNvPicPr>
          <a:picLocks noChangeAspect="1" noChangeArrowheads="1"/>
        </xdr:cNvPicPr>
      </xdr:nvPicPr>
      <xdr:blipFill>
        <a:blip xmlns:r="http://schemas.openxmlformats.org/officeDocument/2006/relationships" r:embed="rId13" cstate="print"/>
        <a:srcRect/>
        <a:stretch>
          <a:fillRect/>
        </a:stretch>
      </xdr:blipFill>
      <xdr:spPr bwMode="auto">
        <a:xfrm>
          <a:off x="6524625" y="3762374"/>
          <a:ext cx="5800725" cy="3686175"/>
        </a:xfrm>
        <a:prstGeom prst="rect">
          <a:avLst/>
        </a:prstGeom>
        <a:noFill/>
        <a:ln w="1">
          <a:noFill/>
          <a:miter lim="800000"/>
          <a:headEnd/>
          <a:tailEnd type="none" w="med" len="med"/>
        </a:ln>
        <a:effectLst/>
      </xdr:spPr>
    </xdr:pic>
    <xdr:clientData/>
  </xdr:twoCellAnchor>
  <xdr:twoCellAnchor editAs="oneCell">
    <xdr:from>
      <xdr:col>6</xdr:col>
      <xdr:colOff>1676400</xdr:colOff>
      <xdr:row>0</xdr:row>
      <xdr:rowOff>0</xdr:rowOff>
    </xdr:from>
    <xdr:to>
      <xdr:col>8</xdr:col>
      <xdr:colOff>714375</xdr:colOff>
      <xdr:row>8</xdr:row>
      <xdr:rowOff>19050</xdr:rowOff>
    </xdr:to>
    <xdr:pic>
      <xdr:nvPicPr>
        <xdr:cNvPr id="13316" name="Picture 4"/>
        <xdr:cNvPicPr>
          <a:picLocks noChangeAspect="1" noChangeArrowheads="1"/>
        </xdr:cNvPicPr>
      </xdr:nvPicPr>
      <xdr:blipFill>
        <a:blip xmlns:r="http://schemas.openxmlformats.org/officeDocument/2006/relationships" r:embed="rId14" cstate="print"/>
        <a:srcRect/>
        <a:stretch>
          <a:fillRect/>
        </a:stretch>
      </xdr:blipFill>
      <xdr:spPr bwMode="auto">
        <a:xfrm>
          <a:off x="10020300" y="0"/>
          <a:ext cx="2114550" cy="2028825"/>
        </a:xfrm>
        <a:prstGeom prst="rect">
          <a:avLst/>
        </a:prstGeom>
        <a:noFill/>
        <a:ln w="1">
          <a:noFill/>
          <a:miter lim="800000"/>
          <a:headEnd/>
          <a:tailEnd type="none" w="med" len="med"/>
        </a:ln>
        <a:effectLst/>
      </xdr:spPr>
    </xdr:pic>
    <xdr:clientData/>
  </xdr:twoCellAnchor>
  <xdr:twoCellAnchor editAs="oneCell">
    <xdr:from>
      <xdr:col>3</xdr:col>
      <xdr:colOff>9526</xdr:colOff>
      <xdr:row>41</xdr:row>
      <xdr:rowOff>95250</xdr:rowOff>
    </xdr:from>
    <xdr:to>
      <xdr:col>4</xdr:col>
      <xdr:colOff>125242</xdr:colOff>
      <xdr:row>44</xdr:row>
      <xdr:rowOff>238125</xdr:rowOff>
    </xdr:to>
    <xdr:pic>
      <xdr:nvPicPr>
        <xdr:cNvPr id="18" name="Picture 26"/>
        <xdr:cNvPicPr>
          <a:picLocks noChangeAspect="1" noChangeArrowheads="1"/>
        </xdr:cNvPicPr>
      </xdr:nvPicPr>
      <xdr:blipFill>
        <a:blip xmlns:r="http://schemas.openxmlformats.org/officeDocument/2006/relationships" r:embed="rId15" cstate="print"/>
        <a:srcRect/>
        <a:stretch>
          <a:fillRect/>
        </a:stretch>
      </xdr:blipFill>
      <xdr:spPr bwMode="auto">
        <a:xfrm>
          <a:off x="4743451" y="10048875"/>
          <a:ext cx="1792116" cy="885825"/>
        </a:xfrm>
        <a:prstGeom prst="rect">
          <a:avLst/>
        </a:prstGeom>
        <a:noFill/>
        <a:ln w="1">
          <a:noFill/>
          <a:miter lim="800000"/>
          <a:headEnd/>
          <a:tailEnd type="none" w="med" len="med"/>
        </a:ln>
        <a:effectLst/>
      </xdr:spPr>
    </xdr:pic>
    <xdr:clientData/>
  </xdr:twoCellAnchor>
  <xdr:twoCellAnchor>
    <xdr:from>
      <xdr:col>3</xdr:col>
      <xdr:colOff>276225</xdr:colOff>
      <xdr:row>8</xdr:row>
      <xdr:rowOff>19050</xdr:rowOff>
    </xdr:from>
    <xdr:to>
      <xdr:col>3</xdr:col>
      <xdr:colOff>590550</xdr:colOff>
      <xdr:row>8</xdr:row>
      <xdr:rowOff>123825</xdr:rowOff>
    </xdr:to>
    <xdr:cxnSp macro="">
      <xdr:nvCxnSpPr>
        <xdr:cNvPr id="20" name="直接箭头连接符 19"/>
        <xdr:cNvCxnSpPr/>
      </xdr:nvCxnSpPr>
      <xdr:spPr>
        <a:xfrm flipV="1">
          <a:off x="5010150" y="2047875"/>
          <a:ext cx="314325" cy="1047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0</xdr:row>
      <xdr:rowOff>19050</xdr:rowOff>
    </xdr:from>
    <xdr:to>
      <xdr:col>0</xdr:col>
      <xdr:colOff>819151</xdr:colOff>
      <xdr:row>0</xdr:row>
      <xdr:rowOff>257175</xdr:rowOff>
    </xdr:to>
    <xdr:sp macro="" textlink="">
      <xdr:nvSpPr>
        <xdr:cNvPr id="19" name="五边形 18">
          <a:hlinkClick xmlns:r="http://schemas.openxmlformats.org/officeDocument/2006/relationships" r:id="rId16"/>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9526</xdr:colOff>
      <xdr:row>2</xdr:row>
      <xdr:rowOff>76200</xdr:rowOff>
    </xdr:from>
    <xdr:to>
      <xdr:col>4</xdr:col>
      <xdr:colOff>0</xdr:colOff>
      <xdr:row>8</xdr:row>
      <xdr:rowOff>665</xdr:rowOff>
    </xdr:to>
    <xdr:pic>
      <xdr:nvPicPr>
        <xdr:cNvPr id="15361"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743451" y="619125"/>
          <a:ext cx="1666874" cy="1409245"/>
        </a:xfrm>
        <a:prstGeom prst="rect">
          <a:avLst/>
        </a:prstGeom>
        <a:noFill/>
        <a:ln w="1">
          <a:noFill/>
          <a:miter lim="800000"/>
          <a:headEnd/>
          <a:tailEnd type="none" w="med" len="med"/>
        </a:ln>
        <a:effectLst/>
      </xdr:spPr>
    </xdr:pic>
    <xdr:clientData/>
  </xdr:twoCellAnchor>
  <xdr:twoCellAnchor editAs="oneCell">
    <xdr:from>
      <xdr:col>21</xdr:col>
      <xdr:colOff>523875</xdr:colOff>
      <xdr:row>2</xdr:row>
      <xdr:rowOff>200025</xdr:rowOff>
    </xdr:from>
    <xdr:to>
      <xdr:col>27</xdr:col>
      <xdr:colOff>419100</xdr:colOff>
      <xdr:row>8</xdr:row>
      <xdr:rowOff>47625</xdr:rowOff>
    </xdr:to>
    <xdr:pic>
      <xdr:nvPicPr>
        <xdr:cNvPr id="15362"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1945600" y="742950"/>
          <a:ext cx="3838575" cy="1333500"/>
        </a:xfrm>
        <a:prstGeom prst="rect">
          <a:avLst/>
        </a:prstGeom>
        <a:noFill/>
        <a:ln w="1">
          <a:noFill/>
          <a:miter lim="800000"/>
          <a:headEnd/>
          <a:tailEnd type="none" w="med" len="med"/>
        </a:ln>
        <a:effectLst/>
      </xdr:spPr>
    </xdr:pic>
    <xdr:clientData/>
  </xdr:twoCellAnchor>
  <xdr:twoCellAnchor editAs="oneCell">
    <xdr:from>
      <xdr:col>8</xdr:col>
      <xdr:colOff>66676</xdr:colOff>
      <xdr:row>2</xdr:row>
      <xdr:rowOff>38101</xdr:rowOff>
    </xdr:from>
    <xdr:to>
      <xdr:col>13</xdr:col>
      <xdr:colOff>17538</xdr:colOff>
      <xdr:row>10</xdr:row>
      <xdr:rowOff>38101</xdr:rowOff>
    </xdr:to>
    <xdr:pic>
      <xdr:nvPicPr>
        <xdr:cNvPr id="15363"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10848976" y="581026"/>
          <a:ext cx="3951362" cy="1981200"/>
        </a:xfrm>
        <a:prstGeom prst="rect">
          <a:avLst/>
        </a:prstGeom>
        <a:noFill/>
        <a:ln w="1">
          <a:noFill/>
          <a:miter lim="800000"/>
          <a:headEnd/>
          <a:tailEnd type="none" w="med" len="med"/>
        </a:ln>
        <a:effectLst/>
      </xdr:spPr>
    </xdr:pic>
    <xdr:clientData/>
  </xdr:twoCellAnchor>
  <xdr:twoCellAnchor editAs="oneCell">
    <xdr:from>
      <xdr:col>5</xdr:col>
      <xdr:colOff>0</xdr:colOff>
      <xdr:row>25</xdr:row>
      <xdr:rowOff>9526</xdr:rowOff>
    </xdr:from>
    <xdr:to>
      <xdr:col>9</xdr:col>
      <xdr:colOff>695325</xdr:colOff>
      <xdr:row>45</xdr:row>
      <xdr:rowOff>122760</xdr:rowOff>
    </xdr:to>
    <xdr:pic>
      <xdr:nvPicPr>
        <xdr:cNvPr id="15364" name="Picture 4"/>
        <xdr:cNvPicPr>
          <a:picLocks noChangeAspect="1" noChangeArrowheads="1"/>
        </xdr:cNvPicPr>
      </xdr:nvPicPr>
      <xdr:blipFill>
        <a:blip xmlns:r="http://schemas.openxmlformats.org/officeDocument/2006/relationships" r:embed="rId4" cstate="print"/>
        <a:srcRect/>
        <a:stretch>
          <a:fillRect/>
        </a:stretch>
      </xdr:blipFill>
      <xdr:spPr bwMode="auto">
        <a:xfrm>
          <a:off x="7248525" y="6248401"/>
          <a:ext cx="5991225" cy="5066234"/>
        </a:xfrm>
        <a:prstGeom prst="rect">
          <a:avLst/>
        </a:prstGeom>
        <a:noFill/>
        <a:ln w="1">
          <a:noFill/>
          <a:miter lim="800000"/>
          <a:headEnd/>
          <a:tailEnd type="none" w="med" len="med"/>
        </a:ln>
        <a:effectLst/>
      </xdr:spPr>
    </xdr:pic>
    <xdr:clientData/>
  </xdr:twoCellAnchor>
  <xdr:twoCellAnchor editAs="oneCell">
    <xdr:from>
      <xdr:col>5</xdr:col>
      <xdr:colOff>9525</xdr:colOff>
      <xdr:row>2</xdr:row>
      <xdr:rowOff>9526</xdr:rowOff>
    </xdr:from>
    <xdr:to>
      <xdr:col>7</xdr:col>
      <xdr:colOff>1003806</xdr:colOff>
      <xdr:row>15</xdr:row>
      <xdr:rowOff>76200</xdr:rowOff>
    </xdr:to>
    <xdr:pic>
      <xdr:nvPicPr>
        <xdr:cNvPr id="15365" name="Picture 5"/>
        <xdr:cNvPicPr>
          <a:picLocks noChangeAspect="1" noChangeArrowheads="1"/>
        </xdr:cNvPicPr>
      </xdr:nvPicPr>
      <xdr:blipFill>
        <a:blip xmlns:r="http://schemas.openxmlformats.org/officeDocument/2006/relationships" r:embed="rId5" cstate="print">
          <a:lum bright="-20000" contrast="30000"/>
        </a:blip>
        <a:srcRect/>
        <a:stretch>
          <a:fillRect/>
        </a:stretch>
      </xdr:blipFill>
      <xdr:spPr bwMode="auto">
        <a:xfrm>
          <a:off x="7258050" y="552451"/>
          <a:ext cx="3908931" cy="3286124"/>
        </a:xfrm>
        <a:prstGeom prst="rect">
          <a:avLst/>
        </a:prstGeom>
        <a:noFill/>
        <a:ln w="1">
          <a:noFill/>
          <a:miter lim="800000"/>
          <a:headEnd/>
          <a:tailEnd type="none" w="med" len="med"/>
        </a:ln>
        <a:effectLst/>
      </xdr:spPr>
    </xdr:pic>
    <xdr:clientData/>
  </xdr:twoCellAnchor>
  <xdr:twoCellAnchor editAs="oneCell">
    <xdr:from>
      <xdr:col>13</xdr:col>
      <xdr:colOff>0</xdr:colOff>
      <xdr:row>213</xdr:row>
      <xdr:rowOff>0</xdr:rowOff>
    </xdr:from>
    <xdr:to>
      <xdr:col>19</xdr:col>
      <xdr:colOff>9525</xdr:colOff>
      <xdr:row>228</xdr:row>
      <xdr:rowOff>123825</xdr:rowOff>
    </xdr:to>
    <xdr:pic>
      <xdr:nvPicPr>
        <xdr:cNvPr id="15369"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15211425" y="53540025"/>
          <a:ext cx="4543425" cy="3838575"/>
        </a:xfrm>
        <a:prstGeom prst="rect">
          <a:avLst/>
        </a:prstGeom>
        <a:noFill/>
        <a:ln w="1">
          <a:noFill/>
          <a:miter lim="800000"/>
          <a:headEnd/>
          <a:tailEnd type="none" w="med" len="med"/>
        </a:ln>
        <a:effectLst/>
      </xdr:spPr>
    </xdr:pic>
    <xdr:clientData/>
  </xdr:twoCellAnchor>
  <xdr:twoCellAnchor editAs="oneCell">
    <xdr:from>
      <xdr:col>5</xdr:col>
      <xdr:colOff>0</xdr:colOff>
      <xdr:row>17</xdr:row>
      <xdr:rowOff>0</xdr:rowOff>
    </xdr:from>
    <xdr:to>
      <xdr:col>8</xdr:col>
      <xdr:colOff>1294409</xdr:colOff>
      <xdr:row>23</xdr:row>
      <xdr:rowOff>95249</xdr:rowOff>
    </xdr:to>
    <xdr:pic>
      <xdr:nvPicPr>
        <xdr:cNvPr id="15371" name="Picture 11"/>
        <xdr:cNvPicPr>
          <a:picLocks noChangeAspect="1" noChangeArrowheads="1"/>
        </xdr:cNvPicPr>
      </xdr:nvPicPr>
      <xdr:blipFill>
        <a:blip xmlns:r="http://schemas.openxmlformats.org/officeDocument/2006/relationships" r:embed="rId7" cstate="print"/>
        <a:srcRect/>
        <a:stretch>
          <a:fillRect/>
        </a:stretch>
      </xdr:blipFill>
      <xdr:spPr bwMode="auto">
        <a:xfrm>
          <a:off x="6819900" y="4257675"/>
          <a:ext cx="5256809" cy="1581149"/>
        </a:xfrm>
        <a:prstGeom prst="rect">
          <a:avLst/>
        </a:prstGeom>
        <a:noFill/>
        <a:ln w="1">
          <a:noFill/>
          <a:miter lim="800000"/>
          <a:headEnd/>
          <a:tailEnd type="none" w="med" len="med"/>
        </a:ln>
        <a:effectLst/>
      </xdr:spPr>
    </xdr:pic>
    <xdr:clientData/>
  </xdr:twoCellAnchor>
  <xdr:twoCellAnchor editAs="oneCell">
    <xdr:from>
      <xdr:col>17</xdr:col>
      <xdr:colOff>257735</xdr:colOff>
      <xdr:row>42</xdr:row>
      <xdr:rowOff>100852</xdr:rowOff>
    </xdr:from>
    <xdr:to>
      <xdr:col>28</xdr:col>
      <xdr:colOff>3362</xdr:colOff>
      <xdr:row>53</xdr:row>
      <xdr:rowOff>119903</xdr:rowOff>
    </xdr:to>
    <xdr:pic>
      <xdr:nvPicPr>
        <xdr:cNvPr id="15374" name="Picture 14"/>
        <xdr:cNvPicPr>
          <a:picLocks noChangeAspect="1" noChangeArrowheads="1"/>
        </xdr:cNvPicPr>
      </xdr:nvPicPr>
      <xdr:blipFill>
        <a:blip xmlns:r="http://schemas.openxmlformats.org/officeDocument/2006/relationships" r:embed="rId8" cstate="print"/>
        <a:srcRect/>
        <a:stretch>
          <a:fillRect/>
        </a:stretch>
      </xdr:blipFill>
      <xdr:spPr bwMode="auto">
        <a:xfrm>
          <a:off x="18388853" y="10499911"/>
          <a:ext cx="7981950" cy="2730874"/>
        </a:xfrm>
        <a:prstGeom prst="rect">
          <a:avLst/>
        </a:prstGeom>
        <a:noFill/>
        <a:ln w="1">
          <a:noFill/>
          <a:miter lim="800000"/>
          <a:headEnd/>
          <a:tailEnd type="none" w="med" len="med"/>
        </a:ln>
        <a:effectLst/>
      </xdr:spPr>
    </xdr:pic>
    <xdr:clientData/>
  </xdr:twoCellAnchor>
  <xdr:twoCellAnchor>
    <xdr:from>
      <xdr:col>5</xdr:col>
      <xdr:colOff>447675</xdr:colOff>
      <xdr:row>39</xdr:row>
      <xdr:rowOff>209551</xdr:rowOff>
    </xdr:from>
    <xdr:to>
      <xdr:col>5</xdr:col>
      <xdr:colOff>647700</xdr:colOff>
      <xdr:row>41</xdr:row>
      <xdr:rowOff>142875</xdr:rowOff>
    </xdr:to>
    <xdr:cxnSp macro="">
      <xdr:nvCxnSpPr>
        <xdr:cNvPr id="33" name="直接箭头连接符 32"/>
        <xdr:cNvCxnSpPr/>
      </xdr:nvCxnSpPr>
      <xdr:spPr>
        <a:xfrm flipV="1">
          <a:off x="7696200" y="9915526"/>
          <a:ext cx="200025" cy="428624"/>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6</xdr:col>
      <xdr:colOff>647700</xdr:colOff>
      <xdr:row>29</xdr:row>
      <xdr:rowOff>114300</xdr:rowOff>
    </xdr:from>
    <xdr:to>
      <xdr:col>6</xdr:col>
      <xdr:colOff>847725</xdr:colOff>
      <xdr:row>31</xdr:row>
      <xdr:rowOff>47624</xdr:rowOff>
    </xdr:to>
    <xdr:cxnSp macro="">
      <xdr:nvCxnSpPr>
        <xdr:cNvPr id="35" name="直接箭头连接符 34"/>
        <xdr:cNvCxnSpPr/>
      </xdr:nvCxnSpPr>
      <xdr:spPr>
        <a:xfrm flipV="1">
          <a:off x="8991600" y="7343775"/>
          <a:ext cx="200025" cy="428624"/>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6</xdr:col>
      <xdr:colOff>647700</xdr:colOff>
      <xdr:row>38</xdr:row>
      <xdr:rowOff>76201</xdr:rowOff>
    </xdr:from>
    <xdr:to>
      <xdr:col>6</xdr:col>
      <xdr:colOff>847725</xdr:colOff>
      <xdr:row>40</xdr:row>
      <xdr:rowOff>9525</xdr:rowOff>
    </xdr:to>
    <xdr:cxnSp macro="">
      <xdr:nvCxnSpPr>
        <xdr:cNvPr id="36" name="直接箭头连接符 35"/>
        <xdr:cNvCxnSpPr/>
      </xdr:nvCxnSpPr>
      <xdr:spPr>
        <a:xfrm flipV="1">
          <a:off x="8991600" y="9534526"/>
          <a:ext cx="200025" cy="428624"/>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5</xdr:col>
      <xdr:colOff>9526</xdr:colOff>
      <xdr:row>47</xdr:row>
      <xdr:rowOff>0</xdr:rowOff>
    </xdr:from>
    <xdr:to>
      <xdr:col>10</xdr:col>
      <xdr:colOff>457200</xdr:colOff>
      <xdr:row>50</xdr:row>
      <xdr:rowOff>100245</xdr:rowOff>
    </xdr:to>
    <xdr:pic>
      <xdr:nvPicPr>
        <xdr:cNvPr id="15377" name="Picture 17"/>
        <xdr:cNvPicPr>
          <a:picLocks noChangeAspect="1" noChangeArrowheads="1"/>
        </xdr:cNvPicPr>
      </xdr:nvPicPr>
      <xdr:blipFill>
        <a:blip xmlns:r="http://schemas.openxmlformats.org/officeDocument/2006/relationships" r:embed="rId9" cstate="print"/>
        <a:srcRect/>
        <a:stretch>
          <a:fillRect/>
        </a:stretch>
      </xdr:blipFill>
      <xdr:spPr bwMode="auto">
        <a:xfrm>
          <a:off x="7258051" y="11687175"/>
          <a:ext cx="6505574" cy="843195"/>
        </a:xfrm>
        <a:prstGeom prst="rect">
          <a:avLst/>
        </a:prstGeom>
        <a:noFill/>
        <a:ln w="1">
          <a:noFill/>
          <a:miter lim="800000"/>
          <a:headEnd/>
          <a:tailEnd type="none" w="med" len="med"/>
        </a:ln>
        <a:effectLst/>
      </xdr:spPr>
    </xdr:pic>
    <xdr:clientData/>
  </xdr:twoCellAnchor>
  <xdr:twoCellAnchor editAs="oneCell">
    <xdr:from>
      <xdr:col>3</xdr:col>
      <xdr:colOff>11207</xdr:colOff>
      <xdr:row>25</xdr:row>
      <xdr:rowOff>11206</xdr:rowOff>
    </xdr:from>
    <xdr:to>
      <xdr:col>3</xdr:col>
      <xdr:colOff>1666875</xdr:colOff>
      <xdr:row>31</xdr:row>
      <xdr:rowOff>0</xdr:rowOff>
    </xdr:to>
    <xdr:pic>
      <xdr:nvPicPr>
        <xdr:cNvPr id="2" name="Picture 1"/>
        <xdr:cNvPicPr>
          <a:picLocks noChangeAspect="1" noChangeArrowheads="1"/>
        </xdr:cNvPicPr>
      </xdr:nvPicPr>
      <xdr:blipFill>
        <a:blip xmlns:r="http://schemas.openxmlformats.org/officeDocument/2006/relationships" r:embed="rId10" cstate="print"/>
        <a:srcRect/>
        <a:stretch>
          <a:fillRect/>
        </a:stretch>
      </xdr:blipFill>
      <xdr:spPr bwMode="auto">
        <a:xfrm>
          <a:off x="4745132" y="6002431"/>
          <a:ext cx="1655668" cy="1474694"/>
        </a:xfrm>
        <a:prstGeom prst="rect">
          <a:avLst/>
        </a:prstGeom>
        <a:noFill/>
        <a:ln w="1">
          <a:noFill/>
          <a:miter lim="800000"/>
          <a:headEnd/>
          <a:tailEnd type="none" w="med" len="med"/>
        </a:ln>
        <a:effectLst/>
      </xdr:spPr>
    </xdr:pic>
    <xdr:clientData/>
  </xdr:twoCellAnchor>
  <xdr:twoCellAnchor editAs="oneCell">
    <xdr:from>
      <xdr:col>3</xdr:col>
      <xdr:colOff>9525</xdr:colOff>
      <xdr:row>52</xdr:row>
      <xdr:rowOff>9525</xdr:rowOff>
    </xdr:from>
    <xdr:to>
      <xdr:col>3</xdr:col>
      <xdr:colOff>1668236</xdr:colOff>
      <xdr:row>56</xdr:row>
      <xdr:rowOff>114300</xdr:rowOff>
    </xdr:to>
    <xdr:pic>
      <xdr:nvPicPr>
        <xdr:cNvPr id="3" name="Picture 2"/>
        <xdr:cNvPicPr>
          <a:picLocks noChangeAspect="1" noChangeArrowheads="1"/>
        </xdr:cNvPicPr>
      </xdr:nvPicPr>
      <xdr:blipFill>
        <a:blip xmlns:r="http://schemas.openxmlformats.org/officeDocument/2006/relationships" r:embed="rId11" cstate="print"/>
        <a:srcRect/>
        <a:stretch>
          <a:fillRect/>
        </a:stretch>
      </xdr:blipFill>
      <xdr:spPr bwMode="auto">
        <a:xfrm>
          <a:off x="4743450" y="12439650"/>
          <a:ext cx="1658711" cy="1095375"/>
        </a:xfrm>
        <a:prstGeom prst="rect">
          <a:avLst/>
        </a:prstGeom>
        <a:noFill/>
        <a:ln w="1">
          <a:noFill/>
          <a:miter lim="800000"/>
          <a:headEnd/>
          <a:tailEnd type="none" w="med" len="med"/>
        </a:ln>
        <a:effectLst/>
      </xdr:spPr>
    </xdr:pic>
    <xdr:clientData/>
  </xdr:twoCellAnchor>
  <xdr:twoCellAnchor editAs="oneCell">
    <xdr:from>
      <xdr:col>5</xdr:col>
      <xdr:colOff>9525</xdr:colOff>
      <xdr:row>51</xdr:row>
      <xdr:rowOff>9525</xdr:rowOff>
    </xdr:from>
    <xdr:to>
      <xdr:col>8</xdr:col>
      <xdr:colOff>1176647</xdr:colOff>
      <xdr:row>60</xdr:row>
      <xdr:rowOff>104775</xdr:rowOff>
    </xdr:to>
    <xdr:pic>
      <xdr:nvPicPr>
        <xdr:cNvPr id="30" name="内容占位符 2"/>
        <xdr:cNvPicPr>
          <a:picLocks noGrp="1" noChangeAspect="1"/>
        </xdr:cNvPicPr>
      </xdr:nvPicPr>
      <xdr:blipFill>
        <a:blip xmlns:r="http://schemas.openxmlformats.org/officeDocument/2006/relationships" r:embed="rId12" cstate="print"/>
        <a:stretch>
          <a:fillRect/>
        </a:stretch>
      </xdr:blipFill>
      <xdr:spPr>
        <a:xfrm>
          <a:off x="6829425" y="12687300"/>
          <a:ext cx="5129522" cy="2324100"/>
        </a:xfrm>
        <a:prstGeom prst="rect">
          <a:avLst/>
        </a:prstGeom>
        <a:noFill/>
        <a:ln w="9525">
          <a:noFill/>
        </a:ln>
      </xdr:spPr>
    </xdr:pic>
    <xdr:clientData/>
  </xdr:twoCellAnchor>
  <xdr:oneCellAnchor>
    <xdr:from>
      <xdr:col>3</xdr:col>
      <xdr:colOff>200025</xdr:colOff>
      <xdr:row>25</xdr:row>
      <xdr:rowOff>190500</xdr:rowOff>
    </xdr:from>
    <xdr:ext cx="626197" cy="311496"/>
    <xdr:sp macro="" textlink="">
      <xdr:nvSpPr>
        <xdr:cNvPr id="39" name="TextBox 38"/>
        <xdr:cNvSpPr txBox="1"/>
      </xdr:nvSpPr>
      <xdr:spPr>
        <a:xfrm>
          <a:off x="4933950" y="6181725"/>
          <a:ext cx="62619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400"/>
            <a:t>Z2  d2</a:t>
          </a:r>
          <a:endParaRPr lang="zh-CN" altLang="en-US" sz="1400"/>
        </a:p>
      </xdr:txBody>
    </xdr:sp>
    <xdr:clientData/>
  </xdr:oneCellAnchor>
  <xdr:oneCellAnchor>
    <xdr:from>
      <xdr:col>3</xdr:col>
      <xdr:colOff>19050</xdr:colOff>
      <xdr:row>27</xdr:row>
      <xdr:rowOff>28575</xdr:rowOff>
    </xdr:from>
    <xdr:ext cx="626197" cy="311496"/>
    <xdr:sp macro="" textlink="">
      <xdr:nvSpPr>
        <xdr:cNvPr id="40" name="TextBox 39"/>
        <xdr:cNvSpPr txBox="1"/>
      </xdr:nvSpPr>
      <xdr:spPr>
        <a:xfrm>
          <a:off x="4752975" y="6515100"/>
          <a:ext cx="62619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zh-CN" sz="1400"/>
            <a:t>Z1  d1</a:t>
          </a:r>
          <a:endParaRPr lang="zh-CN" altLang="en-US" sz="1400"/>
        </a:p>
      </xdr:txBody>
    </xdr:sp>
    <xdr:clientData/>
  </xdr:oneCellAnchor>
  <xdr:twoCellAnchor editAs="oneCell">
    <xdr:from>
      <xdr:col>5</xdr:col>
      <xdr:colOff>9525</xdr:colOff>
      <xdr:row>61</xdr:row>
      <xdr:rowOff>28575</xdr:rowOff>
    </xdr:from>
    <xdr:to>
      <xdr:col>6</xdr:col>
      <xdr:colOff>1028700</xdr:colOff>
      <xdr:row>69</xdr:row>
      <xdr:rowOff>76200</xdr:rowOff>
    </xdr:to>
    <xdr:pic>
      <xdr:nvPicPr>
        <xdr:cNvPr id="41" name="Picture 4"/>
        <xdr:cNvPicPr>
          <a:picLocks noChangeAspect="1" noChangeArrowheads="1"/>
        </xdr:cNvPicPr>
      </xdr:nvPicPr>
      <xdr:blipFill>
        <a:blip xmlns:r="http://schemas.openxmlformats.org/officeDocument/2006/relationships" r:embed="rId13" cstate="print"/>
        <a:srcRect/>
        <a:stretch>
          <a:fillRect/>
        </a:stretch>
      </xdr:blipFill>
      <xdr:spPr bwMode="auto">
        <a:xfrm>
          <a:off x="6829425" y="15182850"/>
          <a:ext cx="2114550" cy="2028825"/>
        </a:xfrm>
        <a:prstGeom prst="rect">
          <a:avLst/>
        </a:prstGeom>
        <a:noFill/>
        <a:ln w="1">
          <a:noFill/>
          <a:miter lim="800000"/>
          <a:headEnd/>
          <a:tailEnd type="none" w="med" len="med"/>
        </a:ln>
        <a:effectLst/>
      </xdr:spPr>
    </xdr:pic>
    <xdr:clientData/>
  </xdr:twoCellAnchor>
  <xdr:twoCellAnchor>
    <xdr:from>
      <xdr:col>8</xdr:col>
      <xdr:colOff>47625</xdr:colOff>
      <xdr:row>53</xdr:row>
      <xdr:rowOff>114300</xdr:rowOff>
    </xdr:from>
    <xdr:to>
      <xdr:col>8</xdr:col>
      <xdr:colOff>476250</xdr:colOff>
      <xdr:row>53</xdr:row>
      <xdr:rowOff>114300</xdr:rowOff>
    </xdr:to>
    <xdr:cxnSp macro="">
      <xdr:nvCxnSpPr>
        <xdr:cNvPr id="43" name="直接箭头连接符 42"/>
        <xdr:cNvCxnSpPr/>
      </xdr:nvCxnSpPr>
      <xdr:spPr>
        <a:xfrm>
          <a:off x="10829925" y="13287375"/>
          <a:ext cx="428625"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8</xdr:col>
      <xdr:colOff>447675</xdr:colOff>
      <xdr:row>52</xdr:row>
      <xdr:rowOff>219075</xdr:rowOff>
    </xdr:from>
    <xdr:ext cx="599203" cy="275717"/>
    <xdr:sp macro="" textlink="">
      <xdr:nvSpPr>
        <xdr:cNvPr id="44" name="TextBox 43"/>
        <xdr:cNvSpPr txBox="1"/>
      </xdr:nvSpPr>
      <xdr:spPr>
        <a:xfrm>
          <a:off x="11229975" y="13144500"/>
          <a:ext cx="59920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100" b="1"/>
            <a:t>外力</a:t>
          </a:r>
          <a:r>
            <a:rPr lang="en-US" altLang="zh-CN" sz="1100" b="1"/>
            <a:t>Fa</a:t>
          </a:r>
          <a:endParaRPr lang="zh-CN" altLang="en-US" sz="1100" b="1"/>
        </a:p>
      </xdr:txBody>
    </xdr:sp>
    <xdr:clientData/>
  </xdr:oneCellAnchor>
  <xdr:twoCellAnchor>
    <xdr:from>
      <xdr:col>5</xdr:col>
      <xdr:colOff>771525</xdr:colOff>
      <xdr:row>54</xdr:row>
      <xdr:rowOff>114300</xdr:rowOff>
    </xdr:from>
    <xdr:to>
      <xdr:col>6</xdr:col>
      <xdr:colOff>9525</xdr:colOff>
      <xdr:row>54</xdr:row>
      <xdr:rowOff>114300</xdr:rowOff>
    </xdr:to>
    <xdr:cxnSp macro="">
      <xdr:nvCxnSpPr>
        <xdr:cNvPr id="46" name="直接连接符 45"/>
        <xdr:cNvCxnSpPr/>
      </xdr:nvCxnSpPr>
      <xdr:spPr>
        <a:xfrm>
          <a:off x="7591425" y="13535025"/>
          <a:ext cx="333375" cy="0"/>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19050</xdr:colOff>
      <xdr:row>52</xdr:row>
      <xdr:rowOff>180975</xdr:rowOff>
    </xdr:from>
    <xdr:to>
      <xdr:col>6</xdr:col>
      <xdr:colOff>352425</xdr:colOff>
      <xdr:row>52</xdr:row>
      <xdr:rowOff>180975</xdr:rowOff>
    </xdr:to>
    <xdr:cxnSp macro="">
      <xdr:nvCxnSpPr>
        <xdr:cNvPr id="47" name="直接连接符 46"/>
        <xdr:cNvCxnSpPr/>
      </xdr:nvCxnSpPr>
      <xdr:spPr>
        <a:xfrm>
          <a:off x="7934325" y="13106400"/>
          <a:ext cx="333375" cy="0"/>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oneCellAnchor>
    <xdr:from>
      <xdr:col>6</xdr:col>
      <xdr:colOff>1257300</xdr:colOff>
      <xdr:row>26</xdr:row>
      <xdr:rowOff>47625</xdr:rowOff>
    </xdr:from>
    <xdr:ext cx="2018501" cy="275717"/>
    <xdr:sp macro="" textlink="">
      <xdr:nvSpPr>
        <xdr:cNvPr id="48" name="TextBox 47"/>
        <xdr:cNvSpPr txBox="1"/>
      </xdr:nvSpPr>
      <xdr:spPr>
        <a:xfrm>
          <a:off x="9601200" y="6534150"/>
          <a:ext cx="201850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100">
              <a:solidFill>
                <a:srgbClr val="FF0000"/>
              </a:solidFill>
            </a:rPr>
            <a:t>注：本表为分割器输出轴转矩</a:t>
          </a:r>
        </a:p>
      </xdr:txBody>
    </xdr:sp>
    <xdr:clientData/>
  </xdr:oneCellAnchor>
  <xdr:twoCellAnchor editAs="oneCell">
    <xdr:from>
      <xdr:col>3</xdr:col>
      <xdr:colOff>9526</xdr:colOff>
      <xdr:row>94</xdr:row>
      <xdr:rowOff>9525</xdr:rowOff>
    </xdr:from>
    <xdr:to>
      <xdr:col>3</xdr:col>
      <xdr:colOff>1664745</xdr:colOff>
      <xdr:row>100</xdr:row>
      <xdr:rowOff>190500</xdr:rowOff>
    </xdr:to>
    <xdr:pic>
      <xdr:nvPicPr>
        <xdr:cNvPr id="17410" name="Picture 2"/>
        <xdr:cNvPicPr>
          <a:picLocks noChangeAspect="1" noChangeArrowheads="1"/>
        </xdr:cNvPicPr>
      </xdr:nvPicPr>
      <xdr:blipFill>
        <a:blip xmlns:r="http://schemas.openxmlformats.org/officeDocument/2006/relationships" r:embed="rId14" cstate="print"/>
        <a:srcRect/>
        <a:stretch>
          <a:fillRect/>
        </a:stretch>
      </xdr:blipFill>
      <xdr:spPr bwMode="auto">
        <a:xfrm>
          <a:off x="4743451" y="23336250"/>
          <a:ext cx="1655219" cy="1666875"/>
        </a:xfrm>
        <a:prstGeom prst="rect">
          <a:avLst/>
        </a:prstGeom>
        <a:noFill/>
        <a:ln w="1">
          <a:noFill/>
          <a:miter lim="800000"/>
          <a:headEnd/>
          <a:tailEnd type="none" w="med" len="med"/>
        </a:ln>
        <a:effectLst/>
      </xdr:spPr>
    </xdr:pic>
    <xdr:clientData/>
  </xdr:twoCellAnchor>
  <xdr:twoCellAnchor editAs="oneCell">
    <xdr:from>
      <xdr:col>4</xdr:col>
      <xdr:colOff>0</xdr:colOff>
      <xdr:row>93</xdr:row>
      <xdr:rowOff>0</xdr:rowOff>
    </xdr:from>
    <xdr:to>
      <xdr:col>6</xdr:col>
      <xdr:colOff>1733550</xdr:colOff>
      <xdr:row>101</xdr:row>
      <xdr:rowOff>47625</xdr:rowOff>
    </xdr:to>
    <xdr:pic>
      <xdr:nvPicPr>
        <xdr:cNvPr id="17412" name="Picture 4"/>
        <xdr:cNvPicPr>
          <a:picLocks noChangeAspect="1" noChangeArrowheads="1"/>
        </xdr:cNvPicPr>
      </xdr:nvPicPr>
      <xdr:blipFill>
        <a:blip xmlns:r="http://schemas.openxmlformats.org/officeDocument/2006/relationships" r:embed="rId15" cstate="print"/>
        <a:srcRect/>
        <a:stretch>
          <a:fillRect/>
        </a:stretch>
      </xdr:blipFill>
      <xdr:spPr bwMode="auto">
        <a:xfrm>
          <a:off x="6410325" y="23079075"/>
          <a:ext cx="3238500" cy="2028825"/>
        </a:xfrm>
        <a:prstGeom prst="rect">
          <a:avLst/>
        </a:prstGeom>
        <a:noFill/>
        <a:ln w="1">
          <a:noFill/>
          <a:miter lim="800000"/>
          <a:headEnd/>
          <a:tailEnd type="none" w="med" len="med"/>
        </a:ln>
        <a:effectLst/>
      </xdr:spPr>
    </xdr:pic>
    <xdr:clientData/>
  </xdr:twoCellAnchor>
  <xdr:twoCellAnchor editAs="oneCell">
    <xdr:from>
      <xdr:col>4</xdr:col>
      <xdr:colOff>9525</xdr:colOff>
      <xdr:row>141</xdr:row>
      <xdr:rowOff>19050</xdr:rowOff>
    </xdr:from>
    <xdr:to>
      <xdr:col>10</xdr:col>
      <xdr:colOff>339725</xdr:colOff>
      <xdr:row>164</xdr:row>
      <xdr:rowOff>141287</xdr:rowOff>
    </xdr:to>
    <xdr:pic>
      <xdr:nvPicPr>
        <xdr:cNvPr id="34" name="内容占位符 3"/>
        <xdr:cNvPicPr>
          <a:picLocks noGrp="1" noChangeAspect="1" noChangeArrowheads="1"/>
        </xdr:cNvPicPr>
      </xdr:nvPicPr>
      <xdr:blipFill>
        <a:blip xmlns:r="http://schemas.openxmlformats.org/officeDocument/2006/relationships" r:embed="rId16" cstate="print"/>
        <a:srcRect/>
        <a:stretch>
          <a:fillRect/>
        </a:stretch>
      </xdr:blipFill>
      <xdr:spPr bwMode="auto">
        <a:xfrm>
          <a:off x="6419850" y="34985325"/>
          <a:ext cx="6797675" cy="5818187"/>
        </a:xfrm>
        <a:prstGeom prst="rect">
          <a:avLst/>
        </a:prstGeom>
        <a:noFill/>
        <a:ln w="9525">
          <a:noFill/>
          <a:miter lim="800000"/>
          <a:headEnd/>
          <a:tailEnd/>
        </a:ln>
      </xdr:spPr>
    </xdr:pic>
    <xdr:clientData/>
  </xdr:twoCellAnchor>
  <xdr:twoCellAnchor editAs="oneCell">
    <xdr:from>
      <xdr:col>4</xdr:col>
      <xdr:colOff>19050</xdr:colOff>
      <xdr:row>132</xdr:row>
      <xdr:rowOff>2</xdr:rowOff>
    </xdr:from>
    <xdr:to>
      <xdr:col>6</xdr:col>
      <xdr:colOff>542925</xdr:colOff>
      <xdr:row>139</xdr:row>
      <xdr:rowOff>33077</xdr:rowOff>
    </xdr:to>
    <xdr:pic>
      <xdr:nvPicPr>
        <xdr:cNvPr id="42" name="Picture 6"/>
        <xdr:cNvPicPr>
          <a:picLocks noChangeAspect="1" noChangeArrowheads="1"/>
        </xdr:cNvPicPr>
      </xdr:nvPicPr>
      <xdr:blipFill>
        <a:blip xmlns:r="http://schemas.openxmlformats.org/officeDocument/2006/relationships" r:embed="rId17" cstate="print">
          <a:lum bright="10000" contrast="30000"/>
        </a:blip>
        <a:srcRect/>
        <a:stretch>
          <a:fillRect/>
        </a:stretch>
      </xdr:blipFill>
      <xdr:spPr bwMode="auto">
        <a:xfrm>
          <a:off x="6429375" y="32737427"/>
          <a:ext cx="2028825" cy="1766625"/>
        </a:xfrm>
        <a:prstGeom prst="rect">
          <a:avLst/>
        </a:prstGeom>
        <a:noFill/>
        <a:ln w="1">
          <a:noFill/>
          <a:miter lim="800000"/>
          <a:headEnd/>
          <a:tailEnd type="none" w="med" len="med"/>
        </a:ln>
        <a:effectLst/>
      </xdr:spPr>
    </xdr:pic>
    <xdr:clientData/>
  </xdr:twoCellAnchor>
  <xdr:twoCellAnchor editAs="oneCell">
    <xdr:from>
      <xdr:col>6</xdr:col>
      <xdr:colOff>600075</xdr:colOff>
      <xdr:row>132</xdr:row>
      <xdr:rowOff>9525</xdr:rowOff>
    </xdr:from>
    <xdr:to>
      <xdr:col>7</xdr:col>
      <xdr:colOff>894300</xdr:colOff>
      <xdr:row>139</xdr:row>
      <xdr:rowOff>76201</xdr:rowOff>
    </xdr:to>
    <xdr:pic>
      <xdr:nvPicPr>
        <xdr:cNvPr id="49" name="Picture 7"/>
        <xdr:cNvPicPr>
          <a:picLocks noChangeAspect="1" noChangeArrowheads="1"/>
        </xdr:cNvPicPr>
      </xdr:nvPicPr>
      <xdr:blipFill>
        <a:blip xmlns:r="http://schemas.openxmlformats.org/officeDocument/2006/relationships" r:embed="rId18" cstate="print">
          <a:lum bright="10000" contrast="30000"/>
        </a:blip>
        <a:srcRect/>
        <a:stretch>
          <a:fillRect/>
        </a:stretch>
      </xdr:blipFill>
      <xdr:spPr bwMode="auto">
        <a:xfrm>
          <a:off x="8515350" y="32746950"/>
          <a:ext cx="2113500" cy="1800226"/>
        </a:xfrm>
        <a:prstGeom prst="rect">
          <a:avLst/>
        </a:prstGeom>
        <a:noFill/>
        <a:ln w="1">
          <a:noFill/>
          <a:miter lim="800000"/>
          <a:headEnd/>
          <a:tailEnd type="none" w="med" len="med"/>
        </a:ln>
        <a:effectLst/>
      </xdr:spPr>
    </xdr:pic>
    <xdr:clientData/>
  </xdr:twoCellAnchor>
  <xdr:twoCellAnchor>
    <xdr:from>
      <xdr:col>5</xdr:col>
      <xdr:colOff>1085850</xdr:colOff>
      <xdr:row>134</xdr:row>
      <xdr:rowOff>238125</xdr:rowOff>
    </xdr:from>
    <xdr:to>
      <xdr:col>6</xdr:col>
      <xdr:colOff>666750</xdr:colOff>
      <xdr:row>136</xdr:row>
      <xdr:rowOff>219075</xdr:rowOff>
    </xdr:to>
    <xdr:sp macro="" textlink="">
      <xdr:nvSpPr>
        <xdr:cNvPr id="45" name="右箭头 44"/>
        <xdr:cNvSpPr/>
      </xdr:nvSpPr>
      <xdr:spPr>
        <a:xfrm>
          <a:off x="7905750" y="33470850"/>
          <a:ext cx="676275" cy="476250"/>
        </a:xfrm>
        <a:prstGeom prst="rightArrow">
          <a:avLst/>
        </a:prstGeom>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lang="zh-CN" altLang="en-US" sz="1100"/>
        </a:p>
      </xdr:txBody>
    </xdr:sp>
    <xdr:clientData/>
  </xdr:twoCellAnchor>
  <xdr:twoCellAnchor editAs="oneCell">
    <xdr:from>
      <xdr:col>7</xdr:col>
      <xdr:colOff>895350</xdr:colOff>
      <xdr:row>132</xdr:row>
      <xdr:rowOff>1</xdr:rowOff>
    </xdr:from>
    <xdr:to>
      <xdr:col>9</xdr:col>
      <xdr:colOff>708151</xdr:colOff>
      <xdr:row>139</xdr:row>
      <xdr:rowOff>152401</xdr:rowOff>
    </xdr:to>
    <xdr:pic>
      <xdr:nvPicPr>
        <xdr:cNvPr id="17414" name="Picture 6"/>
        <xdr:cNvPicPr>
          <a:picLocks noChangeAspect="1" noChangeArrowheads="1"/>
        </xdr:cNvPicPr>
      </xdr:nvPicPr>
      <xdr:blipFill>
        <a:blip xmlns:r="http://schemas.openxmlformats.org/officeDocument/2006/relationships" r:embed="rId19" cstate="print">
          <a:lum bright="10000" contrast="30000"/>
        </a:blip>
        <a:srcRect/>
        <a:stretch>
          <a:fillRect/>
        </a:stretch>
      </xdr:blipFill>
      <xdr:spPr bwMode="auto">
        <a:xfrm>
          <a:off x="10629900" y="32737426"/>
          <a:ext cx="2194051" cy="1885950"/>
        </a:xfrm>
        <a:prstGeom prst="rect">
          <a:avLst/>
        </a:prstGeom>
        <a:noFill/>
        <a:ln w="1">
          <a:noFill/>
          <a:miter lim="800000"/>
          <a:headEnd/>
          <a:tailEnd type="none" w="med" len="med"/>
        </a:ln>
        <a:effectLst/>
      </xdr:spPr>
    </xdr:pic>
    <xdr:clientData/>
  </xdr:twoCellAnchor>
  <xdr:twoCellAnchor>
    <xdr:from>
      <xdr:col>7</xdr:col>
      <xdr:colOff>314325</xdr:colOff>
      <xdr:row>134</xdr:row>
      <xdr:rowOff>238125</xdr:rowOff>
    </xdr:from>
    <xdr:to>
      <xdr:col>7</xdr:col>
      <xdr:colOff>990600</xdr:colOff>
      <xdr:row>136</xdr:row>
      <xdr:rowOff>219075</xdr:rowOff>
    </xdr:to>
    <xdr:sp macro="" textlink="">
      <xdr:nvSpPr>
        <xdr:cNvPr id="50" name="右箭头 49"/>
        <xdr:cNvSpPr/>
      </xdr:nvSpPr>
      <xdr:spPr>
        <a:xfrm>
          <a:off x="10048875" y="33470850"/>
          <a:ext cx="676275" cy="476250"/>
        </a:xfrm>
        <a:prstGeom prst="rightArrow">
          <a:avLst/>
        </a:prstGeom>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lang="zh-CN" altLang="en-US" sz="1100"/>
        </a:p>
      </xdr:txBody>
    </xdr:sp>
    <xdr:clientData/>
  </xdr:twoCellAnchor>
  <xdr:oneCellAnchor>
    <xdr:from>
      <xdr:col>7</xdr:col>
      <xdr:colOff>1038225</xdr:colOff>
      <xdr:row>148</xdr:row>
      <xdr:rowOff>9525</xdr:rowOff>
    </xdr:from>
    <xdr:ext cx="184731" cy="400366"/>
    <xdr:sp macro="" textlink="">
      <xdr:nvSpPr>
        <xdr:cNvPr id="52" name="TextBox 51"/>
        <xdr:cNvSpPr txBox="1"/>
      </xdr:nvSpPr>
      <xdr:spPr>
        <a:xfrm>
          <a:off x="10772775" y="36709350"/>
          <a:ext cx="184731" cy="400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zh-CN" altLang="en-US" sz="1400">
            <a:latin typeface="微软雅黑" pitchFamily="34" charset="-122"/>
            <a:ea typeface="微软雅黑" pitchFamily="34" charset="-122"/>
          </a:endParaRPr>
        </a:p>
      </xdr:txBody>
    </xdr:sp>
    <xdr:clientData/>
  </xdr:oneCellAnchor>
  <xdr:twoCellAnchor>
    <xdr:from>
      <xdr:col>5</xdr:col>
      <xdr:colOff>276226</xdr:colOff>
      <xdr:row>133</xdr:row>
      <xdr:rowOff>9526</xdr:rowOff>
    </xdr:from>
    <xdr:to>
      <xdr:col>5</xdr:col>
      <xdr:colOff>409576</xdr:colOff>
      <xdr:row>133</xdr:row>
      <xdr:rowOff>104776</xdr:rowOff>
    </xdr:to>
    <xdr:sp macro="" textlink="">
      <xdr:nvSpPr>
        <xdr:cNvPr id="56" name="矩形 55"/>
        <xdr:cNvSpPr/>
      </xdr:nvSpPr>
      <xdr:spPr>
        <a:xfrm>
          <a:off x="7096126" y="32994601"/>
          <a:ext cx="133350" cy="9525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xdr:from>
      <xdr:col>6</xdr:col>
      <xdr:colOff>1247775</xdr:colOff>
      <xdr:row>133</xdr:row>
      <xdr:rowOff>19050</xdr:rowOff>
    </xdr:from>
    <xdr:to>
      <xdr:col>6</xdr:col>
      <xdr:colOff>1381125</xdr:colOff>
      <xdr:row>133</xdr:row>
      <xdr:rowOff>114300</xdr:rowOff>
    </xdr:to>
    <xdr:sp macro="" textlink="">
      <xdr:nvSpPr>
        <xdr:cNvPr id="57" name="矩形 56"/>
        <xdr:cNvSpPr/>
      </xdr:nvSpPr>
      <xdr:spPr>
        <a:xfrm>
          <a:off x="9163050" y="33004125"/>
          <a:ext cx="133350" cy="9525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xdr:from>
      <xdr:col>8</xdr:col>
      <xdr:colOff>104775</xdr:colOff>
      <xdr:row>132</xdr:row>
      <xdr:rowOff>209551</xdr:rowOff>
    </xdr:from>
    <xdr:to>
      <xdr:col>8</xdr:col>
      <xdr:colOff>238125</xdr:colOff>
      <xdr:row>133</xdr:row>
      <xdr:rowOff>57151</xdr:rowOff>
    </xdr:to>
    <xdr:sp macro="" textlink="">
      <xdr:nvSpPr>
        <xdr:cNvPr id="58" name="矩形 57"/>
        <xdr:cNvSpPr/>
      </xdr:nvSpPr>
      <xdr:spPr>
        <a:xfrm>
          <a:off x="10887075" y="32946976"/>
          <a:ext cx="133350" cy="9525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editAs="oneCell">
    <xdr:from>
      <xdr:col>0</xdr:col>
      <xdr:colOff>0</xdr:colOff>
      <xdr:row>137</xdr:row>
      <xdr:rowOff>0</xdr:rowOff>
    </xdr:from>
    <xdr:to>
      <xdr:col>1</xdr:col>
      <xdr:colOff>2514600</xdr:colOff>
      <xdr:row>144</xdr:row>
      <xdr:rowOff>104775</xdr:rowOff>
    </xdr:to>
    <xdr:pic>
      <xdr:nvPicPr>
        <xdr:cNvPr id="60" name="Picture 5"/>
        <xdr:cNvPicPr>
          <a:picLocks noChangeAspect="1" noChangeArrowheads="1"/>
        </xdr:cNvPicPr>
      </xdr:nvPicPr>
      <xdr:blipFill>
        <a:blip xmlns:r="http://schemas.openxmlformats.org/officeDocument/2006/relationships" r:embed="rId20" cstate="print"/>
        <a:srcRect/>
        <a:stretch>
          <a:fillRect/>
        </a:stretch>
      </xdr:blipFill>
      <xdr:spPr bwMode="auto">
        <a:xfrm>
          <a:off x="0" y="33975675"/>
          <a:ext cx="3533775" cy="1838325"/>
        </a:xfrm>
        <a:prstGeom prst="rect">
          <a:avLst/>
        </a:prstGeom>
        <a:noFill/>
        <a:ln w="1">
          <a:noFill/>
          <a:miter lim="800000"/>
          <a:headEnd/>
          <a:tailEnd type="none" w="med" len="med"/>
        </a:ln>
        <a:effectLst/>
      </xdr:spPr>
    </xdr:pic>
    <xdr:clientData/>
  </xdr:twoCellAnchor>
  <xdr:twoCellAnchor editAs="oneCell">
    <xdr:from>
      <xdr:col>0</xdr:col>
      <xdr:colOff>0</xdr:colOff>
      <xdr:row>144</xdr:row>
      <xdr:rowOff>114300</xdr:rowOff>
    </xdr:from>
    <xdr:to>
      <xdr:col>1</xdr:col>
      <xdr:colOff>1943100</xdr:colOff>
      <xdr:row>152</xdr:row>
      <xdr:rowOff>228600</xdr:rowOff>
    </xdr:to>
    <xdr:pic>
      <xdr:nvPicPr>
        <xdr:cNvPr id="61" name="Picture 3"/>
        <xdr:cNvPicPr>
          <a:picLocks noChangeAspect="1" noChangeArrowheads="1"/>
        </xdr:cNvPicPr>
      </xdr:nvPicPr>
      <xdr:blipFill>
        <a:blip xmlns:r="http://schemas.openxmlformats.org/officeDocument/2006/relationships" r:embed="rId21" cstate="print"/>
        <a:srcRect/>
        <a:stretch>
          <a:fillRect/>
        </a:stretch>
      </xdr:blipFill>
      <xdr:spPr bwMode="auto">
        <a:xfrm>
          <a:off x="0" y="35823525"/>
          <a:ext cx="2962275" cy="2095500"/>
        </a:xfrm>
        <a:prstGeom prst="rect">
          <a:avLst/>
        </a:prstGeom>
        <a:noFill/>
        <a:ln w="1">
          <a:noFill/>
          <a:miter lim="800000"/>
          <a:headEnd/>
          <a:tailEnd type="none" w="med" len="med"/>
        </a:ln>
        <a:effectLst/>
      </xdr:spPr>
    </xdr:pic>
    <xdr:clientData/>
  </xdr:twoCellAnchor>
  <xdr:oneCellAnchor>
    <xdr:from>
      <xdr:col>1</xdr:col>
      <xdr:colOff>76200</xdr:colOff>
      <xdr:row>144</xdr:row>
      <xdr:rowOff>104775</xdr:rowOff>
    </xdr:from>
    <xdr:ext cx="723275" cy="400366"/>
    <xdr:sp macro="" textlink="">
      <xdr:nvSpPr>
        <xdr:cNvPr id="62" name="TextBox 61"/>
        <xdr:cNvSpPr txBox="1"/>
      </xdr:nvSpPr>
      <xdr:spPr>
        <a:xfrm>
          <a:off x="1095375" y="35814000"/>
          <a:ext cx="723275" cy="400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400">
              <a:latin typeface="微软雅黑" pitchFamily="34" charset="-122"/>
              <a:ea typeface="微软雅黑" pitchFamily="34" charset="-122"/>
            </a:rPr>
            <a:t>分割型</a:t>
          </a:r>
        </a:p>
      </xdr:txBody>
    </xdr:sp>
    <xdr:clientData/>
  </xdr:oneCellAnchor>
  <xdr:twoCellAnchor editAs="oneCell">
    <xdr:from>
      <xdr:col>1</xdr:col>
      <xdr:colOff>2009775</xdr:colOff>
      <xdr:row>144</xdr:row>
      <xdr:rowOff>123825</xdr:rowOff>
    </xdr:from>
    <xdr:to>
      <xdr:col>3</xdr:col>
      <xdr:colOff>1533525</xdr:colOff>
      <xdr:row>152</xdr:row>
      <xdr:rowOff>171450</xdr:rowOff>
    </xdr:to>
    <xdr:pic>
      <xdr:nvPicPr>
        <xdr:cNvPr id="63" name="Picture 4"/>
        <xdr:cNvPicPr>
          <a:picLocks noChangeAspect="1" noChangeArrowheads="1"/>
        </xdr:cNvPicPr>
      </xdr:nvPicPr>
      <xdr:blipFill>
        <a:blip xmlns:r="http://schemas.openxmlformats.org/officeDocument/2006/relationships" r:embed="rId15" cstate="print"/>
        <a:srcRect/>
        <a:stretch>
          <a:fillRect/>
        </a:stretch>
      </xdr:blipFill>
      <xdr:spPr bwMode="auto">
        <a:xfrm>
          <a:off x="3028950" y="35833050"/>
          <a:ext cx="3238500" cy="2028825"/>
        </a:xfrm>
        <a:prstGeom prst="rect">
          <a:avLst/>
        </a:prstGeom>
        <a:noFill/>
        <a:ln w="1">
          <a:noFill/>
          <a:miter lim="800000"/>
          <a:headEnd/>
          <a:tailEnd type="none" w="med" len="med"/>
        </a:ln>
        <a:effectLst/>
      </xdr:spPr>
    </xdr:pic>
    <xdr:clientData/>
  </xdr:twoCellAnchor>
  <xdr:oneCellAnchor>
    <xdr:from>
      <xdr:col>2</xdr:col>
      <xdr:colOff>552450</xdr:colOff>
      <xdr:row>144</xdr:row>
      <xdr:rowOff>123825</xdr:rowOff>
    </xdr:from>
    <xdr:ext cx="723275" cy="400366"/>
    <xdr:sp macro="" textlink="">
      <xdr:nvSpPr>
        <xdr:cNvPr id="64" name="TextBox 63"/>
        <xdr:cNvSpPr txBox="1"/>
      </xdr:nvSpPr>
      <xdr:spPr>
        <a:xfrm>
          <a:off x="4105275" y="35833050"/>
          <a:ext cx="723275" cy="400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400">
              <a:latin typeface="微软雅黑" pitchFamily="34" charset="-122"/>
              <a:ea typeface="微软雅黑" pitchFamily="34" charset="-122"/>
            </a:rPr>
            <a:t>摇摆型</a:t>
          </a:r>
        </a:p>
      </xdr:txBody>
    </xdr:sp>
    <xdr:clientData/>
  </xdr:oneCellAnchor>
  <xdr:twoCellAnchor>
    <xdr:from>
      <xdr:col>5</xdr:col>
      <xdr:colOff>600075</xdr:colOff>
      <xdr:row>134</xdr:row>
      <xdr:rowOff>219075</xdr:rowOff>
    </xdr:from>
    <xdr:to>
      <xdr:col>5</xdr:col>
      <xdr:colOff>866775</xdr:colOff>
      <xdr:row>137</xdr:row>
      <xdr:rowOff>123825</xdr:rowOff>
    </xdr:to>
    <xdr:sp macro="" textlink="">
      <xdr:nvSpPr>
        <xdr:cNvPr id="66" name="环形箭头 65"/>
        <xdr:cNvSpPr/>
      </xdr:nvSpPr>
      <xdr:spPr>
        <a:xfrm>
          <a:off x="7419975" y="33451800"/>
          <a:ext cx="266700" cy="647700"/>
        </a:xfrm>
        <a:prstGeom prst="circularArrow">
          <a:avLst/>
        </a:prstGeom>
      </xdr:spPr>
      <xdr:style>
        <a:lnRef idx="3">
          <a:schemeClr val="lt1"/>
        </a:lnRef>
        <a:fillRef idx="1">
          <a:schemeClr val="accent2"/>
        </a:fillRef>
        <a:effectRef idx="1">
          <a:schemeClr val="accent2"/>
        </a:effectRef>
        <a:fontRef idx="minor">
          <a:schemeClr val="lt1"/>
        </a:fontRef>
      </xdr:style>
      <xdr:txBody>
        <a:bodyPr vertOverflow="clip" rtlCol="0" anchor="ctr"/>
        <a:lstStyle/>
        <a:p>
          <a:pPr algn="ctr"/>
          <a:endParaRPr lang="zh-CN" altLang="en-US" sz="1100">
            <a:solidFill>
              <a:schemeClr val="tx1"/>
            </a:solidFill>
          </a:endParaRPr>
        </a:p>
      </xdr:txBody>
    </xdr:sp>
    <xdr:clientData/>
  </xdr:twoCellAnchor>
  <xdr:twoCellAnchor>
    <xdr:from>
      <xdr:col>0</xdr:col>
      <xdr:colOff>9525</xdr:colOff>
      <xdr:row>0</xdr:row>
      <xdr:rowOff>19050</xdr:rowOff>
    </xdr:from>
    <xdr:to>
      <xdr:col>0</xdr:col>
      <xdr:colOff>819151</xdr:colOff>
      <xdr:row>0</xdr:row>
      <xdr:rowOff>257175</xdr:rowOff>
    </xdr:to>
    <xdr:sp macro="" textlink="">
      <xdr:nvSpPr>
        <xdr:cNvPr id="51" name="五边形 50">
          <a:hlinkClick xmlns:r="http://schemas.openxmlformats.org/officeDocument/2006/relationships" r:id="rId22"/>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323850</xdr:colOff>
      <xdr:row>5</xdr:row>
      <xdr:rowOff>123825</xdr:rowOff>
    </xdr:from>
    <xdr:to>
      <xdr:col>14</xdr:col>
      <xdr:colOff>457200</xdr:colOff>
      <xdr:row>32</xdr:row>
      <xdr:rowOff>9525</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323849</xdr:colOff>
      <xdr:row>32</xdr:row>
      <xdr:rowOff>161924</xdr:rowOff>
    </xdr:from>
    <xdr:to>
      <xdr:col>14</xdr:col>
      <xdr:colOff>476250</xdr:colOff>
      <xdr:row>54</xdr:row>
      <xdr:rowOff>28575</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0</xdr:row>
      <xdr:rowOff>19050</xdr:rowOff>
    </xdr:from>
    <xdr:to>
      <xdr:col>1</xdr:col>
      <xdr:colOff>314326</xdr:colOff>
      <xdr:row>0</xdr:row>
      <xdr:rowOff>257175</xdr:rowOff>
    </xdr:to>
    <xdr:sp macro="" textlink="">
      <xdr:nvSpPr>
        <xdr:cNvPr id="4" name="五边形 3">
          <a:hlinkClick xmlns:r="http://schemas.openxmlformats.org/officeDocument/2006/relationships" r:id="rId3"/>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15</xdr:col>
      <xdr:colOff>371475</xdr:colOff>
      <xdr:row>0</xdr:row>
      <xdr:rowOff>0</xdr:rowOff>
    </xdr:from>
    <xdr:to>
      <xdr:col>29</xdr:col>
      <xdr:colOff>533400</xdr:colOff>
      <xdr:row>39</xdr:row>
      <xdr:rowOff>0</xdr:rowOff>
    </xdr:to>
    <xdr:pic>
      <xdr:nvPicPr>
        <xdr:cNvPr id="1331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0315575" y="0"/>
          <a:ext cx="9763125" cy="7258050"/>
        </a:xfrm>
        <a:prstGeom prst="rect">
          <a:avLst/>
        </a:prstGeom>
        <a:noFill/>
        <a:ln w="1">
          <a:noFill/>
          <a:miter lim="800000"/>
          <a:headEnd/>
          <a:tailEnd type="none" w="med" len="med"/>
        </a:ln>
        <a:effectLst/>
      </xdr:spPr>
    </xdr:pic>
    <xdr:clientData/>
  </xdr:twoCellAnchor>
  <xdr:twoCellAnchor editAs="oneCell">
    <xdr:from>
      <xdr:col>0</xdr:col>
      <xdr:colOff>0</xdr:colOff>
      <xdr:row>2</xdr:row>
      <xdr:rowOff>0</xdr:rowOff>
    </xdr:from>
    <xdr:to>
      <xdr:col>6</xdr:col>
      <xdr:colOff>333375</xdr:colOff>
      <xdr:row>25</xdr:row>
      <xdr:rowOff>38100</xdr:rowOff>
    </xdr:to>
    <xdr:pic>
      <xdr:nvPicPr>
        <xdr:cNvPr id="13314"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0" y="542925"/>
          <a:ext cx="4105275" cy="4305300"/>
        </a:xfrm>
        <a:prstGeom prst="rect">
          <a:avLst/>
        </a:prstGeom>
        <a:noFill/>
        <a:ln w="1">
          <a:noFill/>
          <a:miter lim="800000"/>
          <a:headEnd/>
          <a:tailEnd type="none" w="med" len="med"/>
        </a:ln>
        <a:effectLst/>
      </xdr:spPr>
    </xdr:pic>
    <xdr:clientData/>
  </xdr:twoCellAnchor>
  <xdr:twoCellAnchor editAs="oneCell">
    <xdr:from>
      <xdr:col>6</xdr:col>
      <xdr:colOff>542925</xdr:colOff>
      <xdr:row>1</xdr:row>
      <xdr:rowOff>0</xdr:rowOff>
    </xdr:from>
    <xdr:to>
      <xdr:col>13</xdr:col>
      <xdr:colOff>514350</xdr:colOff>
      <xdr:row>25</xdr:row>
      <xdr:rowOff>74862</xdr:rowOff>
    </xdr:to>
    <xdr:pic>
      <xdr:nvPicPr>
        <xdr:cNvPr id="9" name="Object 1028"/>
        <xdr:cNvPicPr>
          <a:picLocks noChangeAspect="1" noChangeArrowheads="1"/>
        </xdr:cNvPicPr>
      </xdr:nvPicPr>
      <xdr:blipFill>
        <a:blip xmlns:r="http://schemas.openxmlformats.org/officeDocument/2006/relationships" r:embed="rId3" cstate="print"/>
        <a:srcRect/>
        <a:stretch>
          <a:fillRect/>
        </a:stretch>
      </xdr:blipFill>
      <xdr:spPr bwMode="auto">
        <a:xfrm>
          <a:off x="4314825" y="361950"/>
          <a:ext cx="4772025" cy="4523037"/>
        </a:xfrm>
        <a:prstGeom prst="rect">
          <a:avLst/>
        </a:prstGeom>
        <a:noFill/>
        <a:ln w="9525">
          <a:noFill/>
          <a:miter lim="800000"/>
          <a:headEnd/>
          <a:tailEnd/>
        </a:ln>
        <a:effectLst/>
      </xdr:spPr>
    </xdr:pic>
    <xdr:clientData/>
  </xdr:twoCellAnchor>
  <xdr:twoCellAnchor>
    <xdr:from>
      <xdr:col>9</xdr:col>
      <xdr:colOff>352425</xdr:colOff>
      <xdr:row>15</xdr:row>
      <xdr:rowOff>38100</xdr:rowOff>
    </xdr:from>
    <xdr:to>
      <xdr:col>9</xdr:col>
      <xdr:colOff>361950</xdr:colOff>
      <xdr:row>22</xdr:row>
      <xdr:rowOff>57150</xdr:rowOff>
    </xdr:to>
    <xdr:cxnSp macro="">
      <xdr:nvCxnSpPr>
        <xdr:cNvPr id="11" name="直接连接符 10"/>
        <xdr:cNvCxnSpPr/>
      </xdr:nvCxnSpPr>
      <xdr:spPr>
        <a:xfrm flipH="1">
          <a:off x="6181725" y="3038475"/>
          <a:ext cx="9525" cy="1285875"/>
        </a:xfrm>
        <a:prstGeom prst="line">
          <a:avLst/>
        </a:prstGeom>
        <a:ln w="38100">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0</xdr:colOff>
      <xdr:row>27</xdr:row>
      <xdr:rowOff>0</xdr:rowOff>
    </xdr:from>
    <xdr:to>
      <xdr:col>6</xdr:col>
      <xdr:colOff>333375</xdr:colOff>
      <xdr:row>51</xdr:row>
      <xdr:rowOff>47625</xdr:rowOff>
    </xdr:to>
    <xdr:pic>
      <xdr:nvPicPr>
        <xdr:cNvPr id="13315" name="Picture 3"/>
        <xdr:cNvPicPr>
          <a:picLocks noChangeAspect="1" noChangeArrowheads="1"/>
        </xdr:cNvPicPr>
      </xdr:nvPicPr>
      <xdr:blipFill>
        <a:blip xmlns:r="http://schemas.openxmlformats.org/officeDocument/2006/relationships" r:embed="rId4" cstate="print"/>
        <a:srcRect/>
        <a:stretch>
          <a:fillRect/>
        </a:stretch>
      </xdr:blipFill>
      <xdr:spPr bwMode="auto">
        <a:xfrm>
          <a:off x="0" y="5172075"/>
          <a:ext cx="4105275" cy="4391025"/>
        </a:xfrm>
        <a:prstGeom prst="rect">
          <a:avLst/>
        </a:prstGeom>
        <a:noFill/>
        <a:ln w="1">
          <a:noFill/>
          <a:miter lim="800000"/>
          <a:headEnd/>
          <a:tailEnd type="none" w="med" len="med"/>
        </a:ln>
        <a:effectLst/>
      </xdr:spPr>
    </xdr:pic>
    <xdr:clientData/>
  </xdr:twoCellAnchor>
  <xdr:twoCellAnchor>
    <xdr:from>
      <xdr:col>6</xdr:col>
      <xdr:colOff>514350</xdr:colOff>
      <xdr:row>27</xdr:row>
      <xdr:rowOff>28575</xdr:rowOff>
    </xdr:from>
    <xdr:to>
      <xdr:col>15</xdr:col>
      <xdr:colOff>438150</xdr:colOff>
      <xdr:row>37</xdr:row>
      <xdr:rowOff>28575</xdr:rowOff>
    </xdr:to>
    <xdr:pic>
      <xdr:nvPicPr>
        <xdr:cNvPr id="13316" name="Object 1024"/>
        <xdr:cNvPicPr>
          <a:picLocks noChangeAspect="1" noChangeArrowheads="1"/>
        </xdr:cNvPicPr>
      </xdr:nvPicPr>
      <xdr:blipFill>
        <a:blip xmlns:r="http://schemas.openxmlformats.org/officeDocument/2006/relationships" r:embed="rId5" cstate="print"/>
        <a:srcRect/>
        <a:stretch>
          <a:fillRect/>
        </a:stretch>
      </xdr:blipFill>
      <xdr:spPr bwMode="auto">
        <a:xfrm>
          <a:off x="4286250" y="5200650"/>
          <a:ext cx="6096000" cy="1809750"/>
        </a:xfrm>
        <a:prstGeom prst="rect">
          <a:avLst/>
        </a:prstGeom>
        <a:noFill/>
        <a:ln w="9525">
          <a:noFill/>
          <a:miter lim="800000"/>
          <a:headEnd/>
          <a:tailEnd/>
        </a:ln>
        <a:effectLst/>
      </xdr:spPr>
    </xdr:pic>
    <xdr:clientData/>
  </xdr:twoCellAnchor>
  <xdr:twoCellAnchor>
    <xdr:from>
      <xdr:col>0</xdr:col>
      <xdr:colOff>9525</xdr:colOff>
      <xdr:row>53</xdr:row>
      <xdr:rowOff>0</xdr:rowOff>
    </xdr:from>
    <xdr:to>
      <xdr:col>6</xdr:col>
      <xdr:colOff>581025</xdr:colOff>
      <xdr:row>71</xdr:row>
      <xdr:rowOff>57150</xdr:rowOff>
    </xdr:to>
    <xdr:pic>
      <xdr:nvPicPr>
        <xdr:cNvPr id="13317" name="Object 1025"/>
        <xdr:cNvPicPr>
          <a:picLocks noChangeAspect="1" noChangeArrowheads="1"/>
        </xdr:cNvPicPr>
      </xdr:nvPicPr>
      <xdr:blipFill>
        <a:blip xmlns:r="http://schemas.openxmlformats.org/officeDocument/2006/relationships" r:embed="rId6" cstate="print"/>
        <a:srcRect/>
        <a:stretch>
          <a:fillRect/>
        </a:stretch>
      </xdr:blipFill>
      <xdr:spPr bwMode="auto">
        <a:xfrm>
          <a:off x="9525" y="9877425"/>
          <a:ext cx="4343400" cy="3314700"/>
        </a:xfrm>
        <a:prstGeom prst="rect">
          <a:avLst/>
        </a:prstGeom>
        <a:noFill/>
        <a:ln w="9525">
          <a:noFill/>
          <a:miter lim="800000"/>
          <a:headEnd/>
          <a:tailEnd/>
        </a:ln>
        <a:effectLst/>
      </xdr:spPr>
    </xdr:pic>
    <xdr:clientData/>
  </xdr:twoCellAnchor>
  <xdr:twoCellAnchor>
    <xdr:from>
      <xdr:col>0</xdr:col>
      <xdr:colOff>38100</xdr:colOff>
      <xdr:row>71</xdr:row>
      <xdr:rowOff>0</xdr:rowOff>
    </xdr:from>
    <xdr:to>
      <xdr:col>6</xdr:col>
      <xdr:colOff>609600</xdr:colOff>
      <xdr:row>83</xdr:row>
      <xdr:rowOff>9525</xdr:rowOff>
    </xdr:to>
    <xdr:pic>
      <xdr:nvPicPr>
        <xdr:cNvPr id="13318" name="Object 1026"/>
        <xdr:cNvPicPr>
          <a:picLocks noChangeAspect="1" noChangeArrowheads="1"/>
        </xdr:cNvPicPr>
      </xdr:nvPicPr>
      <xdr:blipFill>
        <a:blip xmlns:r="http://schemas.openxmlformats.org/officeDocument/2006/relationships" r:embed="rId7" cstate="print"/>
        <a:srcRect/>
        <a:stretch>
          <a:fillRect/>
        </a:stretch>
      </xdr:blipFill>
      <xdr:spPr bwMode="auto">
        <a:xfrm>
          <a:off x="38100" y="13134975"/>
          <a:ext cx="4343400" cy="2181225"/>
        </a:xfrm>
        <a:prstGeom prst="rect">
          <a:avLst/>
        </a:prstGeom>
        <a:noFill/>
        <a:ln w="9525">
          <a:noFill/>
          <a:miter lim="800000"/>
          <a:headEnd/>
          <a:tailEnd/>
        </a:ln>
        <a:effectLst/>
      </xdr:spPr>
    </xdr:pic>
    <xdr:clientData/>
  </xdr:twoCellAnchor>
  <xdr:twoCellAnchor>
    <xdr:from>
      <xdr:col>7</xdr:col>
      <xdr:colOff>19050</xdr:colOff>
      <xdr:row>52</xdr:row>
      <xdr:rowOff>171450</xdr:rowOff>
    </xdr:from>
    <xdr:to>
      <xdr:col>19</xdr:col>
      <xdr:colOff>247650</xdr:colOff>
      <xdr:row>68</xdr:row>
      <xdr:rowOff>95250</xdr:rowOff>
    </xdr:to>
    <xdr:pic>
      <xdr:nvPicPr>
        <xdr:cNvPr id="13319" name="Object 1024"/>
        <xdr:cNvPicPr>
          <a:picLocks noChangeAspect="1" noChangeArrowheads="1"/>
        </xdr:cNvPicPr>
      </xdr:nvPicPr>
      <xdr:blipFill>
        <a:blip xmlns:r="http://schemas.openxmlformats.org/officeDocument/2006/relationships" r:embed="rId8" cstate="print"/>
        <a:srcRect/>
        <a:stretch>
          <a:fillRect/>
        </a:stretch>
      </xdr:blipFill>
      <xdr:spPr bwMode="auto">
        <a:xfrm>
          <a:off x="4476750" y="9867900"/>
          <a:ext cx="8458200" cy="2819400"/>
        </a:xfrm>
        <a:prstGeom prst="rect">
          <a:avLst/>
        </a:prstGeom>
        <a:noFill/>
        <a:ln w="9525">
          <a:noFill/>
          <a:miter lim="800000"/>
          <a:headEnd/>
          <a:tailEnd/>
        </a:ln>
        <a:effectLst/>
      </xdr:spPr>
    </xdr:pic>
    <xdr:clientData/>
  </xdr:twoCellAnchor>
  <xdr:twoCellAnchor>
    <xdr:from>
      <xdr:col>0</xdr:col>
      <xdr:colOff>0</xdr:colOff>
      <xdr:row>86</xdr:row>
      <xdr:rowOff>28575</xdr:rowOff>
    </xdr:from>
    <xdr:to>
      <xdr:col>11</xdr:col>
      <xdr:colOff>571500</xdr:colOff>
      <xdr:row>111</xdr:row>
      <xdr:rowOff>38100</xdr:rowOff>
    </xdr:to>
    <xdr:pic>
      <xdr:nvPicPr>
        <xdr:cNvPr id="13320" name="Object 1024"/>
        <xdr:cNvPicPr>
          <a:picLocks noChangeAspect="1" noChangeArrowheads="1"/>
        </xdr:cNvPicPr>
      </xdr:nvPicPr>
      <xdr:blipFill>
        <a:blip xmlns:r="http://schemas.openxmlformats.org/officeDocument/2006/relationships" r:embed="rId9" cstate="print"/>
        <a:srcRect/>
        <a:stretch>
          <a:fillRect/>
        </a:stretch>
      </xdr:blipFill>
      <xdr:spPr bwMode="auto">
        <a:xfrm>
          <a:off x="0" y="15878175"/>
          <a:ext cx="7772400" cy="4533900"/>
        </a:xfrm>
        <a:prstGeom prst="rect">
          <a:avLst/>
        </a:prstGeom>
        <a:noFill/>
        <a:ln w="9525">
          <a:noFill/>
          <a:miter lim="800000"/>
          <a:headEnd/>
          <a:tailEnd/>
        </a:ln>
        <a:effectLst/>
      </xdr:spPr>
    </xdr:pic>
    <xdr:clientData/>
  </xdr:twoCellAnchor>
  <xdr:twoCellAnchor>
    <xdr:from>
      <xdr:col>0</xdr:col>
      <xdr:colOff>0</xdr:colOff>
      <xdr:row>112</xdr:row>
      <xdr:rowOff>104775</xdr:rowOff>
    </xdr:from>
    <xdr:to>
      <xdr:col>10</xdr:col>
      <xdr:colOff>47625</xdr:colOff>
      <xdr:row>139</xdr:row>
      <xdr:rowOff>66675</xdr:rowOff>
    </xdr:to>
    <xdr:pic>
      <xdr:nvPicPr>
        <xdr:cNvPr id="13321" name="Object 1024"/>
        <xdr:cNvPicPr>
          <a:picLocks noChangeAspect="1" noChangeArrowheads="1"/>
        </xdr:cNvPicPr>
      </xdr:nvPicPr>
      <xdr:blipFill>
        <a:blip xmlns:r="http://schemas.openxmlformats.org/officeDocument/2006/relationships" r:embed="rId10" cstate="print"/>
        <a:srcRect/>
        <a:stretch>
          <a:fillRect/>
        </a:stretch>
      </xdr:blipFill>
      <xdr:spPr bwMode="auto">
        <a:xfrm>
          <a:off x="0" y="20659725"/>
          <a:ext cx="6562725" cy="4848225"/>
        </a:xfrm>
        <a:prstGeom prst="rect">
          <a:avLst/>
        </a:prstGeom>
        <a:noFill/>
        <a:ln w="9525">
          <a:noFill/>
          <a:miter lim="800000"/>
          <a:headEnd/>
          <a:tailEnd/>
        </a:ln>
        <a:effectLst/>
      </xdr:spPr>
    </xdr:pic>
    <xdr:clientData/>
  </xdr:twoCellAnchor>
  <xdr:twoCellAnchor>
    <xdr:from>
      <xdr:col>0</xdr:col>
      <xdr:colOff>0</xdr:colOff>
      <xdr:row>140</xdr:row>
      <xdr:rowOff>57150</xdr:rowOff>
    </xdr:from>
    <xdr:to>
      <xdr:col>11</xdr:col>
      <xdr:colOff>190500</xdr:colOff>
      <xdr:row>163</xdr:row>
      <xdr:rowOff>152400</xdr:rowOff>
    </xdr:to>
    <xdr:pic>
      <xdr:nvPicPr>
        <xdr:cNvPr id="13322" name="Object 0"/>
        <xdr:cNvPicPr>
          <a:picLocks noChangeAspect="1" noChangeArrowheads="1"/>
        </xdr:cNvPicPr>
      </xdr:nvPicPr>
      <xdr:blipFill>
        <a:blip xmlns:r="http://schemas.openxmlformats.org/officeDocument/2006/relationships" r:embed="rId11" cstate="print"/>
        <a:srcRect/>
        <a:stretch>
          <a:fillRect/>
        </a:stretch>
      </xdr:blipFill>
      <xdr:spPr bwMode="auto">
        <a:xfrm>
          <a:off x="0" y="25679400"/>
          <a:ext cx="7391400" cy="4257675"/>
        </a:xfrm>
        <a:prstGeom prst="rect">
          <a:avLst/>
        </a:prstGeom>
        <a:noFill/>
        <a:ln w="9525">
          <a:noFill/>
          <a:miter lim="800000"/>
          <a:headEnd/>
          <a:tailEnd/>
        </a:ln>
        <a:effectLst/>
      </xdr:spPr>
    </xdr:pic>
    <xdr:clientData/>
  </xdr:twoCellAnchor>
  <xdr:twoCellAnchor editAs="oneCell">
    <xdr:from>
      <xdr:col>7</xdr:col>
      <xdr:colOff>0</xdr:colOff>
      <xdr:row>38</xdr:row>
      <xdr:rowOff>0</xdr:rowOff>
    </xdr:from>
    <xdr:to>
      <xdr:col>9</xdr:col>
      <xdr:colOff>333375</xdr:colOff>
      <xdr:row>57</xdr:row>
      <xdr:rowOff>47625</xdr:rowOff>
    </xdr:to>
    <xdr:pic>
      <xdr:nvPicPr>
        <xdr:cNvPr id="12289" name="Picture 1"/>
        <xdr:cNvPicPr>
          <a:picLocks noChangeAspect="1" noChangeArrowheads="1"/>
        </xdr:cNvPicPr>
      </xdr:nvPicPr>
      <xdr:blipFill>
        <a:blip xmlns:r="http://schemas.openxmlformats.org/officeDocument/2006/relationships" r:embed="rId12" cstate="print"/>
        <a:srcRect/>
        <a:stretch>
          <a:fillRect/>
        </a:stretch>
      </xdr:blipFill>
      <xdr:spPr bwMode="auto">
        <a:xfrm>
          <a:off x="4457700" y="7162800"/>
          <a:ext cx="1704975" cy="3486150"/>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1</xdr:col>
      <xdr:colOff>314326</xdr:colOff>
      <xdr:row>0</xdr:row>
      <xdr:rowOff>257175</xdr:rowOff>
    </xdr:to>
    <xdr:sp macro="" textlink="">
      <xdr:nvSpPr>
        <xdr:cNvPr id="15" name="五边形 14">
          <a:hlinkClick xmlns:r="http://schemas.openxmlformats.org/officeDocument/2006/relationships" r:id="rId13"/>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9525</xdr:colOff>
      <xdr:row>0</xdr:row>
      <xdr:rowOff>19050</xdr:rowOff>
    </xdr:from>
    <xdr:to>
      <xdr:col>0</xdr:col>
      <xdr:colOff>819151</xdr:colOff>
      <xdr:row>0</xdr:row>
      <xdr:rowOff>257175</xdr:rowOff>
    </xdr:to>
    <xdr:sp macro="" textlink="">
      <xdr:nvSpPr>
        <xdr:cNvPr id="2" name="五边形 1">
          <a:hlinkClick xmlns:r="http://schemas.openxmlformats.org/officeDocument/2006/relationships" r:id="rId1"/>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47625</xdr:colOff>
      <xdr:row>3</xdr:row>
      <xdr:rowOff>9526</xdr:rowOff>
    </xdr:from>
    <xdr:to>
      <xdr:col>0</xdr:col>
      <xdr:colOff>1114425</xdr:colOff>
      <xdr:row>3</xdr:row>
      <xdr:rowOff>769084</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7625" y="1476376"/>
          <a:ext cx="1066800" cy="759558"/>
        </a:xfrm>
        <a:prstGeom prst="rect">
          <a:avLst/>
        </a:prstGeom>
        <a:noFill/>
        <a:ln w="1">
          <a:noFill/>
          <a:miter lim="800000"/>
          <a:headEnd/>
          <a:tailEnd type="none" w="med" len="med"/>
        </a:ln>
        <a:effectLst/>
      </xdr:spPr>
    </xdr:pic>
    <xdr:clientData/>
  </xdr:twoCellAnchor>
  <xdr:twoCellAnchor editAs="oneCell">
    <xdr:from>
      <xdr:col>0</xdr:col>
      <xdr:colOff>238126</xdr:colOff>
      <xdr:row>4</xdr:row>
      <xdr:rowOff>16785</xdr:rowOff>
    </xdr:from>
    <xdr:to>
      <xdr:col>0</xdr:col>
      <xdr:colOff>1295400</xdr:colOff>
      <xdr:row>4</xdr:row>
      <xdr:rowOff>742950</xdr:rowOff>
    </xdr:to>
    <xdr:pic>
      <xdr:nvPicPr>
        <xdr:cNvPr id="12292"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238126" y="2264685"/>
          <a:ext cx="1057274" cy="726165"/>
        </a:xfrm>
        <a:prstGeom prst="rect">
          <a:avLst/>
        </a:prstGeom>
        <a:noFill/>
        <a:ln w="1">
          <a:noFill/>
          <a:miter lim="800000"/>
          <a:headEnd/>
          <a:tailEnd type="none" w="med" len="med"/>
        </a:ln>
        <a:effectLst/>
      </xdr:spPr>
    </xdr:pic>
    <xdr:clientData/>
  </xdr:twoCellAnchor>
  <xdr:twoCellAnchor editAs="oneCell">
    <xdr:from>
      <xdr:col>0</xdr:col>
      <xdr:colOff>304800</xdr:colOff>
      <xdr:row>7</xdr:row>
      <xdr:rowOff>10215</xdr:rowOff>
    </xdr:from>
    <xdr:to>
      <xdr:col>0</xdr:col>
      <xdr:colOff>1114425</xdr:colOff>
      <xdr:row>8</xdr:row>
      <xdr:rowOff>0</xdr:rowOff>
    </xdr:to>
    <xdr:pic>
      <xdr:nvPicPr>
        <xdr:cNvPr id="12296" name="Picture 8"/>
        <xdr:cNvPicPr>
          <a:picLocks noChangeAspect="1" noChangeArrowheads="1"/>
        </xdr:cNvPicPr>
      </xdr:nvPicPr>
      <xdr:blipFill>
        <a:blip xmlns:r="http://schemas.openxmlformats.org/officeDocument/2006/relationships" r:embed="rId3" cstate="print"/>
        <a:srcRect/>
        <a:stretch>
          <a:fillRect/>
        </a:stretch>
      </xdr:blipFill>
      <xdr:spPr bwMode="auto">
        <a:xfrm>
          <a:off x="304800" y="3677340"/>
          <a:ext cx="809625" cy="751785"/>
        </a:xfrm>
        <a:prstGeom prst="rect">
          <a:avLst/>
        </a:prstGeom>
        <a:noFill/>
        <a:ln w="1">
          <a:noFill/>
          <a:miter lim="800000"/>
          <a:headEnd/>
          <a:tailEnd type="none" w="med" len="med"/>
        </a:ln>
        <a:effectLst/>
      </xdr:spPr>
    </xdr:pic>
    <xdr:clientData/>
  </xdr:twoCellAnchor>
  <xdr:twoCellAnchor editAs="oneCell">
    <xdr:from>
      <xdr:col>0</xdr:col>
      <xdr:colOff>323851</xdr:colOff>
      <xdr:row>8</xdr:row>
      <xdr:rowOff>66675</xdr:rowOff>
    </xdr:from>
    <xdr:to>
      <xdr:col>0</xdr:col>
      <xdr:colOff>1205540</xdr:colOff>
      <xdr:row>8</xdr:row>
      <xdr:rowOff>704850</xdr:rowOff>
    </xdr:to>
    <xdr:pic>
      <xdr:nvPicPr>
        <xdr:cNvPr id="12301" name="Picture 13"/>
        <xdr:cNvPicPr>
          <a:picLocks noChangeAspect="1" noChangeArrowheads="1"/>
        </xdr:cNvPicPr>
      </xdr:nvPicPr>
      <xdr:blipFill>
        <a:blip xmlns:r="http://schemas.openxmlformats.org/officeDocument/2006/relationships" r:embed="rId4" cstate="print"/>
        <a:srcRect/>
        <a:stretch>
          <a:fillRect/>
        </a:stretch>
      </xdr:blipFill>
      <xdr:spPr bwMode="auto">
        <a:xfrm>
          <a:off x="323851" y="4495800"/>
          <a:ext cx="881689" cy="638175"/>
        </a:xfrm>
        <a:prstGeom prst="rect">
          <a:avLst/>
        </a:prstGeom>
        <a:noFill/>
        <a:ln w="1">
          <a:noFill/>
          <a:miter lim="800000"/>
          <a:headEnd/>
          <a:tailEnd type="none" w="med" len="med"/>
        </a:ln>
        <a:effectLst/>
      </xdr:spPr>
    </xdr:pic>
    <xdr:clientData/>
  </xdr:twoCellAnchor>
  <xdr:twoCellAnchor editAs="oneCell">
    <xdr:from>
      <xdr:col>0</xdr:col>
      <xdr:colOff>209550</xdr:colOff>
      <xdr:row>5</xdr:row>
      <xdr:rowOff>38100</xdr:rowOff>
    </xdr:from>
    <xdr:to>
      <xdr:col>0</xdr:col>
      <xdr:colOff>1095375</xdr:colOff>
      <xdr:row>5</xdr:row>
      <xdr:rowOff>722877</xdr:rowOff>
    </xdr:to>
    <xdr:pic>
      <xdr:nvPicPr>
        <xdr:cNvPr id="12304" name="Picture 16"/>
        <xdr:cNvPicPr>
          <a:picLocks noChangeAspect="1" noChangeArrowheads="1"/>
        </xdr:cNvPicPr>
      </xdr:nvPicPr>
      <xdr:blipFill>
        <a:blip xmlns:r="http://schemas.openxmlformats.org/officeDocument/2006/relationships" r:embed="rId5" cstate="print"/>
        <a:srcRect/>
        <a:stretch>
          <a:fillRect/>
        </a:stretch>
      </xdr:blipFill>
      <xdr:spPr bwMode="auto">
        <a:xfrm>
          <a:off x="209550" y="2943225"/>
          <a:ext cx="885825" cy="684777"/>
        </a:xfrm>
        <a:prstGeom prst="rect">
          <a:avLst/>
        </a:prstGeom>
        <a:noFill/>
        <a:ln w="1">
          <a:noFill/>
          <a:miter lim="800000"/>
          <a:headEnd/>
          <a:tailEnd type="none" w="med" len="med"/>
        </a:ln>
        <a:effectLst/>
      </xdr:spPr>
    </xdr:pic>
    <xdr:clientData/>
  </xdr:twoCellAnchor>
  <xdr:twoCellAnchor editAs="oneCell">
    <xdr:from>
      <xdr:col>0</xdr:col>
      <xdr:colOff>0</xdr:colOff>
      <xdr:row>9</xdr:row>
      <xdr:rowOff>171450</xdr:rowOff>
    </xdr:from>
    <xdr:to>
      <xdr:col>0</xdr:col>
      <xdr:colOff>1457325</xdr:colOff>
      <xdr:row>9</xdr:row>
      <xdr:rowOff>657226</xdr:rowOff>
    </xdr:to>
    <xdr:pic>
      <xdr:nvPicPr>
        <xdr:cNvPr id="12305" name="Picture 17"/>
        <xdr:cNvPicPr>
          <a:picLocks noChangeAspect="1" noChangeArrowheads="1"/>
        </xdr:cNvPicPr>
      </xdr:nvPicPr>
      <xdr:blipFill>
        <a:blip xmlns:r="http://schemas.openxmlformats.org/officeDocument/2006/relationships" r:embed="rId6" cstate="print"/>
        <a:srcRect/>
        <a:stretch>
          <a:fillRect/>
        </a:stretch>
      </xdr:blipFill>
      <xdr:spPr bwMode="auto">
        <a:xfrm>
          <a:off x="0" y="6229350"/>
          <a:ext cx="1457325" cy="485776"/>
        </a:xfrm>
        <a:prstGeom prst="rect">
          <a:avLst/>
        </a:prstGeom>
        <a:noFill/>
        <a:ln w="1">
          <a:noFill/>
          <a:miter lim="800000"/>
          <a:headEnd/>
          <a:tailEnd type="none" w="med" len="med"/>
        </a:ln>
        <a:effectLst/>
      </xdr:spPr>
    </xdr:pic>
    <xdr:clientData/>
  </xdr:twoCellAnchor>
  <xdr:twoCellAnchor editAs="oneCell">
    <xdr:from>
      <xdr:col>0</xdr:col>
      <xdr:colOff>38101</xdr:colOff>
      <xdr:row>10</xdr:row>
      <xdr:rowOff>85727</xdr:rowOff>
    </xdr:from>
    <xdr:to>
      <xdr:col>0</xdr:col>
      <xdr:colOff>1503219</xdr:colOff>
      <xdr:row>10</xdr:row>
      <xdr:rowOff>685801</xdr:rowOff>
    </xdr:to>
    <xdr:pic>
      <xdr:nvPicPr>
        <xdr:cNvPr id="12307" name="Picture 19"/>
        <xdr:cNvPicPr>
          <a:picLocks noChangeAspect="1" noChangeArrowheads="1"/>
        </xdr:cNvPicPr>
      </xdr:nvPicPr>
      <xdr:blipFill>
        <a:blip xmlns:r="http://schemas.openxmlformats.org/officeDocument/2006/relationships" r:embed="rId7" cstate="print"/>
        <a:srcRect/>
        <a:stretch>
          <a:fillRect/>
        </a:stretch>
      </xdr:blipFill>
      <xdr:spPr bwMode="auto">
        <a:xfrm>
          <a:off x="38101" y="6905627"/>
          <a:ext cx="1465118" cy="600074"/>
        </a:xfrm>
        <a:prstGeom prst="rect">
          <a:avLst/>
        </a:prstGeom>
        <a:noFill/>
        <a:ln w="1">
          <a:noFill/>
          <a:miter lim="800000"/>
          <a:headEnd/>
          <a:tailEnd type="none" w="med" len="med"/>
        </a:ln>
        <a:effectLst/>
      </xdr:spPr>
    </xdr:pic>
    <xdr:clientData/>
  </xdr:twoCellAnchor>
  <xdr:twoCellAnchor editAs="oneCell">
    <xdr:from>
      <xdr:col>0</xdr:col>
      <xdr:colOff>142875</xdr:colOff>
      <xdr:row>11</xdr:row>
      <xdr:rowOff>19050</xdr:rowOff>
    </xdr:from>
    <xdr:to>
      <xdr:col>0</xdr:col>
      <xdr:colOff>1276350</xdr:colOff>
      <xdr:row>11</xdr:row>
      <xdr:rowOff>733425</xdr:rowOff>
    </xdr:to>
    <xdr:pic>
      <xdr:nvPicPr>
        <xdr:cNvPr id="17" name="Picture 22"/>
        <xdr:cNvPicPr>
          <a:picLocks noChangeAspect="1" noChangeArrowheads="1"/>
        </xdr:cNvPicPr>
      </xdr:nvPicPr>
      <xdr:blipFill>
        <a:blip xmlns:r="http://schemas.openxmlformats.org/officeDocument/2006/relationships" r:embed="rId8" cstate="print"/>
        <a:srcRect/>
        <a:stretch>
          <a:fillRect/>
        </a:stretch>
      </xdr:blipFill>
      <xdr:spPr bwMode="auto">
        <a:xfrm>
          <a:off x="142875" y="7600950"/>
          <a:ext cx="1133475" cy="714375"/>
        </a:xfrm>
        <a:prstGeom prst="rect">
          <a:avLst/>
        </a:prstGeom>
        <a:noFill/>
        <a:ln w="1">
          <a:noFill/>
          <a:miter lim="800000"/>
          <a:headEnd/>
          <a:tailEnd type="none" w="med" len="med"/>
        </a:ln>
        <a:effectLst/>
      </xdr:spPr>
    </xdr:pic>
    <xdr:clientData/>
  </xdr:twoCellAnchor>
  <xdr:twoCellAnchor editAs="oneCell">
    <xdr:from>
      <xdr:col>0</xdr:col>
      <xdr:colOff>304800</xdr:colOff>
      <xdr:row>6</xdr:row>
      <xdr:rowOff>95249</xdr:rowOff>
    </xdr:from>
    <xdr:to>
      <xdr:col>0</xdr:col>
      <xdr:colOff>1038225</xdr:colOff>
      <xdr:row>6</xdr:row>
      <xdr:rowOff>719848</xdr:rowOff>
    </xdr:to>
    <xdr:pic>
      <xdr:nvPicPr>
        <xdr:cNvPr id="12312" name="Picture 24"/>
        <xdr:cNvPicPr>
          <a:picLocks noChangeAspect="1" noChangeArrowheads="1"/>
        </xdr:cNvPicPr>
      </xdr:nvPicPr>
      <xdr:blipFill>
        <a:blip xmlns:r="http://schemas.openxmlformats.org/officeDocument/2006/relationships" r:embed="rId9" cstate="print"/>
        <a:srcRect/>
        <a:stretch>
          <a:fillRect/>
        </a:stretch>
      </xdr:blipFill>
      <xdr:spPr bwMode="auto">
        <a:xfrm>
          <a:off x="304800" y="8439149"/>
          <a:ext cx="733425" cy="624599"/>
        </a:xfrm>
        <a:prstGeom prst="rect">
          <a:avLst/>
        </a:prstGeom>
        <a:noFill/>
        <a:ln w="1">
          <a:noFill/>
          <a:miter lim="800000"/>
          <a:headEnd/>
          <a:tailEnd type="none" w="med" len="med"/>
        </a:ln>
        <a:effectLst/>
      </xdr:spPr>
    </xdr:pic>
    <xdr:clientData/>
  </xdr:twoCellAnchor>
  <xdr:twoCellAnchor editAs="oneCell">
    <xdr:from>
      <xdr:col>0</xdr:col>
      <xdr:colOff>1171575</xdr:colOff>
      <xdr:row>3</xdr:row>
      <xdr:rowOff>38100</xdr:rowOff>
    </xdr:from>
    <xdr:to>
      <xdr:col>0</xdr:col>
      <xdr:colOff>1485899</xdr:colOff>
      <xdr:row>3</xdr:row>
      <xdr:rowOff>750570</xdr:rowOff>
    </xdr:to>
    <xdr:pic>
      <xdr:nvPicPr>
        <xdr:cNvPr id="12314" name="Picture 26"/>
        <xdr:cNvPicPr>
          <a:picLocks noChangeAspect="1" noChangeArrowheads="1"/>
        </xdr:cNvPicPr>
      </xdr:nvPicPr>
      <xdr:blipFill>
        <a:blip xmlns:r="http://schemas.openxmlformats.org/officeDocument/2006/relationships" r:embed="rId10" cstate="print"/>
        <a:srcRect/>
        <a:stretch>
          <a:fillRect/>
        </a:stretch>
      </xdr:blipFill>
      <xdr:spPr bwMode="auto">
        <a:xfrm>
          <a:off x="1171575" y="1504950"/>
          <a:ext cx="314324" cy="712470"/>
        </a:xfrm>
        <a:prstGeom prst="rect">
          <a:avLst/>
        </a:prstGeom>
        <a:noFill/>
        <a:ln w="1">
          <a:noFill/>
          <a:miter lim="800000"/>
          <a:headEnd/>
          <a:tailEnd type="none" w="med" len="med"/>
        </a:ln>
        <a:effectLst/>
      </xdr:spPr>
    </xdr:pic>
    <xdr:clientData/>
  </xdr:twoCellAnchor>
  <xdr:twoCellAnchor editAs="oneCell">
    <xdr:from>
      <xdr:col>0</xdr:col>
      <xdr:colOff>0</xdr:colOff>
      <xdr:row>12</xdr:row>
      <xdr:rowOff>19051</xdr:rowOff>
    </xdr:from>
    <xdr:to>
      <xdr:col>0</xdr:col>
      <xdr:colOff>1247775</xdr:colOff>
      <xdr:row>12</xdr:row>
      <xdr:rowOff>733425</xdr:rowOff>
    </xdr:to>
    <xdr:pic>
      <xdr:nvPicPr>
        <xdr:cNvPr id="12315" name="Picture 27"/>
        <xdr:cNvPicPr>
          <a:picLocks noChangeAspect="1" noChangeArrowheads="1"/>
        </xdr:cNvPicPr>
      </xdr:nvPicPr>
      <xdr:blipFill>
        <a:blip xmlns:r="http://schemas.openxmlformats.org/officeDocument/2006/relationships" r:embed="rId11" cstate="print"/>
        <a:srcRect/>
        <a:stretch>
          <a:fillRect/>
        </a:stretch>
      </xdr:blipFill>
      <xdr:spPr bwMode="auto">
        <a:xfrm>
          <a:off x="0" y="9124951"/>
          <a:ext cx="1247775" cy="714374"/>
        </a:xfrm>
        <a:prstGeom prst="rect">
          <a:avLst/>
        </a:prstGeom>
        <a:noFill/>
        <a:ln w="1">
          <a:noFill/>
          <a:miter lim="800000"/>
          <a:headEnd/>
          <a:tailEnd type="none" w="med" len="med"/>
        </a:ln>
        <a:effectLst/>
      </xdr:spPr>
    </xdr:pic>
    <xdr:clientData/>
  </xdr:twoCellAnchor>
  <xdr:twoCellAnchor editAs="oneCell">
    <xdr:from>
      <xdr:col>0</xdr:col>
      <xdr:colOff>9526</xdr:colOff>
      <xdr:row>17</xdr:row>
      <xdr:rowOff>57151</xdr:rowOff>
    </xdr:from>
    <xdr:to>
      <xdr:col>0</xdr:col>
      <xdr:colOff>1485900</xdr:colOff>
      <xdr:row>17</xdr:row>
      <xdr:rowOff>819150</xdr:rowOff>
    </xdr:to>
    <xdr:pic>
      <xdr:nvPicPr>
        <xdr:cNvPr id="12326" name="Picture 38"/>
        <xdr:cNvPicPr>
          <a:picLocks noChangeAspect="1" noChangeArrowheads="1"/>
        </xdr:cNvPicPr>
      </xdr:nvPicPr>
      <xdr:blipFill>
        <a:blip xmlns:r="http://schemas.openxmlformats.org/officeDocument/2006/relationships" r:embed="rId12" cstate="print"/>
        <a:srcRect/>
        <a:stretch>
          <a:fillRect/>
        </a:stretch>
      </xdr:blipFill>
      <xdr:spPr bwMode="auto">
        <a:xfrm>
          <a:off x="9526" y="11668126"/>
          <a:ext cx="1476374" cy="761999"/>
        </a:xfrm>
        <a:prstGeom prst="rect">
          <a:avLst/>
        </a:prstGeom>
        <a:noFill/>
        <a:ln w="1">
          <a:noFill/>
          <a:miter lim="800000"/>
          <a:headEnd/>
          <a:tailEnd type="none" w="med" len="med"/>
        </a:ln>
        <a:effectLst/>
      </xdr:spPr>
    </xdr:pic>
    <xdr:clientData/>
  </xdr:twoCellAnchor>
  <xdr:twoCellAnchor editAs="oneCell">
    <xdr:from>
      <xdr:col>0</xdr:col>
      <xdr:colOff>1</xdr:colOff>
      <xdr:row>18</xdr:row>
      <xdr:rowOff>38101</xdr:rowOff>
    </xdr:from>
    <xdr:to>
      <xdr:col>0</xdr:col>
      <xdr:colOff>1438275</xdr:colOff>
      <xdr:row>18</xdr:row>
      <xdr:rowOff>523875</xdr:rowOff>
    </xdr:to>
    <xdr:pic>
      <xdr:nvPicPr>
        <xdr:cNvPr id="12333" name="Picture 45"/>
        <xdr:cNvPicPr>
          <a:picLocks noChangeAspect="1" noChangeArrowheads="1"/>
        </xdr:cNvPicPr>
      </xdr:nvPicPr>
      <xdr:blipFill>
        <a:blip xmlns:r="http://schemas.openxmlformats.org/officeDocument/2006/relationships" r:embed="rId13" cstate="print"/>
        <a:srcRect/>
        <a:stretch>
          <a:fillRect/>
        </a:stretch>
      </xdr:blipFill>
      <xdr:spPr bwMode="auto">
        <a:xfrm>
          <a:off x="1" y="11572876"/>
          <a:ext cx="1438274" cy="485774"/>
        </a:xfrm>
        <a:prstGeom prst="rect">
          <a:avLst/>
        </a:prstGeom>
        <a:noFill/>
        <a:ln w="1">
          <a:noFill/>
          <a:miter lim="800000"/>
          <a:headEnd/>
          <a:tailEnd type="none" w="med" len="med"/>
        </a:ln>
        <a:effectLst/>
      </xdr:spPr>
    </xdr:pic>
    <xdr:clientData/>
  </xdr:twoCellAnchor>
  <xdr:twoCellAnchor editAs="oneCell">
    <xdr:from>
      <xdr:col>0</xdr:col>
      <xdr:colOff>57151</xdr:colOff>
      <xdr:row>20</xdr:row>
      <xdr:rowOff>38100</xdr:rowOff>
    </xdr:from>
    <xdr:to>
      <xdr:col>0</xdr:col>
      <xdr:colOff>1447800</xdr:colOff>
      <xdr:row>20</xdr:row>
      <xdr:rowOff>819149</xdr:rowOff>
    </xdr:to>
    <xdr:pic>
      <xdr:nvPicPr>
        <xdr:cNvPr id="12336" name="Picture 48"/>
        <xdr:cNvPicPr>
          <a:picLocks noChangeAspect="1" noChangeArrowheads="1"/>
        </xdr:cNvPicPr>
      </xdr:nvPicPr>
      <xdr:blipFill>
        <a:blip xmlns:r="http://schemas.openxmlformats.org/officeDocument/2006/relationships" r:embed="rId14" cstate="print"/>
        <a:srcRect/>
        <a:stretch>
          <a:fillRect/>
        </a:stretch>
      </xdr:blipFill>
      <xdr:spPr bwMode="auto">
        <a:xfrm>
          <a:off x="57151" y="13420725"/>
          <a:ext cx="1390649" cy="781049"/>
        </a:xfrm>
        <a:prstGeom prst="rect">
          <a:avLst/>
        </a:prstGeom>
        <a:noFill/>
        <a:ln w="1">
          <a:noFill/>
          <a:miter lim="800000"/>
          <a:headEnd/>
          <a:tailEnd type="none" w="med" len="med"/>
        </a:ln>
        <a:effectLst/>
      </xdr:spPr>
    </xdr:pic>
    <xdr:clientData/>
  </xdr:twoCellAnchor>
  <xdr:oneCellAnchor>
    <xdr:from>
      <xdr:col>0</xdr:col>
      <xdr:colOff>590550</xdr:colOff>
      <xdr:row>20</xdr:row>
      <xdr:rowOff>704850</xdr:rowOff>
    </xdr:from>
    <xdr:ext cx="824713" cy="275717"/>
    <xdr:sp macro="" textlink="">
      <xdr:nvSpPr>
        <xdr:cNvPr id="35" name="TextBox 34"/>
        <xdr:cNvSpPr txBox="1"/>
      </xdr:nvSpPr>
      <xdr:spPr>
        <a:xfrm>
          <a:off x="590550" y="14363700"/>
          <a:ext cx="82471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zh-CN" altLang="en-US" sz="1100"/>
            <a:t>丝杆效率</a:t>
          </a:r>
          <a:r>
            <a:rPr lang="el-GR" altLang="zh-CN" sz="1100"/>
            <a:t>η</a:t>
          </a:r>
          <a:endParaRPr lang="zh-CN" altLang="en-US" sz="1100"/>
        </a:p>
      </xdr:txBody>
    </xdr:sp>
    <xdr:clientData/>
  </xdr:oneCellAnchor>
  <xdr:twoCellAnchor editAs="oneCell">
    <xdr:from>
      <xdr:col>0</xdr:col>
      <xdr:colOff>200026</xdr:colOff>
      <xdr:row>19</xdr:row>
      <xdr:rowOff>28575</xdr:rowOff>
    </xdr:from>
    <xdr:to>
      <xdr:col>0</xdr:col>
      <xdr:colOff>1171576</xdr:colOff>
      <xdr:row>20</xdr:row>
      <xdr:rowOff>0</xdr:rowOff>
    </xdr:to>
    <xdr:pic>
      <xdr:nvPicPr>
        <xdr:cNvPr id="12339" name="Picture 51"/>
        <xdr:cNvPicPr>
          <a:picLocks noChangeAspect="1" noChangeArrowheads="1"/>
        </xdr:cNvPicPr>
      </xdr:nvPicPr>
      <xdr:blipFill>
        <a:blip xmlns:r="http://schemas.openxmlformats.org/officeDocument/2006/relationships" r:embed="rId15" cstate="print"/>
        <a:srcRect/>
        <a:stretch>
          <a:fillRect/>
        </a:stretch>
      </xdr:blipFill>
      <xdr:spPr bwMode="auto">
        <a:xfrm>
          <a:off x="200026" y="12144375"/>
          <a:ext cx="971550" cy="514350"/>
        </a:xfrm>
        <a:prstGeom prst="rect">
          <a:avLst/>
        </a:prstGeom>
        <a:noFill/>
        <a:ln w="1">
          <a:noFill/>
          <a:miter lim="800000"/>
          <a:headEnd/>
          <a:tailEnd type="none" w="med" len="med"/>
        </a:ln>
        <a:effectLst/>
      </xdr:spPr>
    </xdr:pic>
    <xdr:clientData/>
  </xdr:twoCellAnchor>
  <xdr:twoCellAnchor editAs="oneCell">
    <xdr:from>
      <xdr:col>3</xdr:col>
      <xdr:colOff>9526</xdr:colOff>
      <xdr:row>13</xdr:row>
      <xdr:rowOff>9525</xdr:rowOff>
    </xdr:from>
    <xdr:to>
      <xdr:col>4</xdr:col>
      <xdr:colOff>295275</xdr:colOff>
      <xdr:row>13</xdr:row>
      <xdr:rowOff>904875</xdr:rowOff>
    </xdr:to>
    <xdr:pic>
      <xdr:nvPicPr>
        <xdr:cNvPr id="38" name="Picture 8"/>
        <xdr:cNvPicPr>
          <a:picLocks noChangeAspect="1" noChangeArrowheads="1"/>
        </xdr:cNvPicPr>
      </xdr:nvPicPr>
      <xdr:blipFill>
        <a:blip xmlns:r="http://schemas.openxmlformats.org/officeDocument/2006/relationships" r:embed="rId16" cstate="print"/>
        <a:srcRect/>
        <a:stretch>
          <a:fillRect/>
        </a:stretch>
      </xdr:blipFill>
      <xdr:spPr bwMode="auto">
        <a:xfrm>
          <a:off x="3609976" y="9010650"/>
          <a:ext cx="790574" cy="895350"/>
        </a:xfrm>
        <a:prstGeom prst="rect">
          <a:avLst/>
        </a:prstGeom>
        <a:noFill/>
      </xdr:spPr>
    </xdr:pic>
    <xdr:clientData/>
  </xdr:twoCellAnchor>
  <xdr:twoCellAnchor editAs="oneCell">
    <xdr:from>
      <xdr:col>4</xdr:col>
      <xdr:colOff>304799</xdr:colOff>
      <xdr:row>13</xdr:row>
      <xdr:rowOff>9525</xdr:rowOff>
    </xdr:from>
    <xdr:to>
      <xdr:col>5</xdr:col>
      <xdr:colOff>495300</xdr:colOff>
      <xdr:row>13</xdr:row>
      <xdr:rowOff>904874</xdr:rowOff>
    </xdr:to>
    <xdr:pic>
      <xdr:nvPicPr>
        <xdr:cNvPr id="39" name="Picture 14"/>
        <xdr:cNvPicPr>
          <a:picLocks noChangeAspect="1" noChangeArrowheads="1"/>
        </xdr:cNvPicPr>
      </xdr:nvPicPr>
      <xdr:blipFill>
        <a:blip xmlns:r="http://schemas.openxmlformats.org/officeDocument/2006/relationships" r:embed="rId17" cstate="print"/>
        <a:srcRect/>
        <a:stretch>
          <a:fillRect/>
        </a:stretch>
      </xdr:blipFill>
      <xdr:spPr bwMode="auto">
        <a:xfrm>
          <a:off x="4410074" y="9010650"/>
          <a:ext cx="695326" cy="895349"/>
        </a:xfrm>
        <a:prstGeom prst="rect">
          <a:avLst/>
        </a:prstGeom>
        <a:noFill/>
      </xdr:spPr>
    </xdr:pic>
    <xdr:clientData/>
  </xdr:twoCellAnchor>
  <xdr:twoCellAnchor editAs="oneCell">
    <xdr:from>
      <xdr:col>6</xdr:col>
      <xdr:colOff>0</xdr:colOff>
      <xdr:row>13</xdr:row>
      <xdr:rowOff>19050</xdr:rowOff>
    </xdr:from>
    <xdr:to>
      <xdr:col>7</xdr:col>
      <xdr:colOff>371475</xdr:colOff>
      <xdr:row>13</xdr:row>
      <xdr:rowOff>904875</xdr:rowOff>
    </xdr:to>
    <xdr:pic>
      <xdr:nvPicPr>
        <xdr:cNvPr id="41" name="Picture 2"/>
        <xdr:cNvPicPr>
          <a:picLocks noChangeAspect="1" noChangeArrowheads="1"/>
        </xdr:cNvPicPr>
      </xdr:nvPicPr>
      <xdr:blipFill>
        <a:blip xmlns:r="http://schemas.openxmlformats.org/officeDocument/2006/relationships" r:embed="rId18" cstate="print"/>
        <a:srcRect/>
        <a:stretch>
          <a:fillRect/>
        </a:stretch>
      </xdr:blipFill>
      <xdr:spPr bwMode="auto">
        <a:xfrm>
          <a:off x="5114925" y="9020175"/>
          <a:ext cx="876300" cy="885825"/>
        </a:xfrm>
        <a:prstGeom prst="rect">
          <a:avLst/>
        </a:prstGeom>
        <a:noFill/>
      </xdr:spPr>
    </xdr:pic>
    <xdr:clientData/>
  </xdr:twoCellAnchor>
  <xdr:twoCellAnchor editAs="oneCell">
    <xdr:from>
      <xdr:col>7</xdr:col>
      <xdr:colOff>381000</xdr:colOff>
      <xdr:row>13</xdr:row>
      <xdr:rowOff>19051</xdr:rowOff>
    </xdr:from>
    <xdr:to>
      <xdr:col>8</xdr:col>
      <xdr:colOff>695325</xdr:colOff>
      <xdr:row>13</xdr:row>
      <xdr:rowOff>895351</xdr:rowOff>
    </xdr:to>
    <xdr:pic>
      <xdr:nvPicPr>
        <xdr:cNvPr id="42" name="Picture 5"/>
        <xdr:cNvPicPr>
          <a:picLocks noChangeAspect="1" noChangeArrowheads="1"/>
        </xdr:cNvPicPr>
      </xdr:nvPicPr>
      <xdr:blipFill>
        <a:blip xmlns:r="http://schemas.openxmlformats.org/officeDocument/2006/relationships" r:embed="rId19" cstate="print"/>
        <a:srcRect/>
        <a:stretch>
          <a:fillRect/>
        </a:stretch>
      </xdr:blipFill>
      <xdr:spPr bwMode="auto">
        <a:xfrm>
          <a:off x="6000750" y="9020176"/>
          <a:ext cx="819150" cy="876300"/>
        </a:xfrm>
        <a:prstGeom prst="rect">
          <a:avLst/>
        </a:prstGeom>
        <a:noFill/>
      </xdr:spPr>
    </xdr:pic>
    <xdr:clientData/>
  </xdr:twoCellAnchor>
  <xdr:twoCellAnchor editAs="oneCell">
    <xdr:from>
      <xdr:col>9</xdr:col>
      <xdr:colOff>0</xdr:colOff>
      <xdr:row>13</xdr:row>
      <xdr:rowOff>19050</xdr:rowOff>
    </xdr:from>
    <xdr:to>
      <xdr:col>9</xdr:col>
      <xdr:colOff>904875</xdr:colOff>
      <xdr:row>13</xdr:row>
      <xdr:rowOff>904875</xdr:rowOff>
    </xdr:to>
    <xdr:pic>
      <xdr:nvPicPr>
        <xdr:cNvPr id="43" name="Picture 10"/>
        <xdr:cNvPicPr>
          <a:picLocks noChangeAspect="1" noChangeArrowheads="1"/>
        </xdr:cNvPicPr>
      </xdr:nvPicPr>
      <xdr:blipFill>
        <a:blip xmlns:r="http://schemas.openxmlformats.org/officeDocument/2006/relationships" r:embed="rId20" cstate="print"/>
        <a:srcRect/>
        <a:stretch>
          <a:fillRect/>
        </a:stretch>
      </xdr:blipFill>
      <xdr:spPr bwMode="auto">
        <a:xfrm>
          <a:off x="6829425" y="9020175"/>
          <a:ext cx="904875" cy="885825"/>
        </a:xfrm>
        <a:prstGeom prst="rect">
          <a:avLst/>
        </a:prstGeom>
        <a:noFill/>
      </xdr:spPr>
    </xdr:pic>
    <xdr:clientData/>
  </xdr:twoCellAnchor>
  <xdr:twoCellAnchor editAs="oneCell">
    <xdr:from>
      <xdr:col>0</xdr:col>
      <xdr:colOff>19050</xdr:colOff>
      <xdr:row>2</xdr:row>
      <xdr:rowOff>19050</xdr:rowOff>
    </xdr:from>
    <xdr:to>
      <xdr:col>0</xdr:col>
      <xdr:colOff>1409700</xdr:colOff>
      <xdr:row>2</xdr:row>
      <xdr:rowOff>628649</xdr:rowOff>
    </xdr:to>
    <xdr:pic>
      <xdr:nvPicPr>
        <xdr:cNvPr id="12345" name="Picture 57"/>
        <xdr:cNvPicPr>
          <a:picLocks noChangeAspect="1" noChangeArrowheads="1"/>
        </xdr:cNvPicPr>
      </xdr:nvPicPr>
      <xdr:blipFill>
        <a:blip xmlns:r="http://schemas.openxmlformats.org/officeDocument/2006/relationships" r:embed="rId21" cstate="print"/>
        <a:srcRect/>
        <a:stretch>
          <a:fillRect/>
        </a:stretch>
      </xdr:blipFill>
      <xdr:spPr bwMode="auto">
        <a:xfrm>
          <a:off x="19050" y="742950"/>
          <a:ext cx="1390650" cy="609599"/>
        </a:xfrm>
        <a:prstGeom prst="rect">
          <a:avLst/>
        </a:prstGeom>
        <a:noFill/>
        <a:ln w="1">
          <a:noFill/>
          <a:miter lim="800000"/>
          <a:headEnd/>
          <a:tailEnd type="none" w="med" len="med"/>
        </a:ln>
        <a:effectLst/>
      </xdr:spPr>
    </xdr:pic>
    <xdr:clientData/>
  </xdr:twoCellAnchor>
  <xdr:twoCellAnchor editAs="oneCell">
    <xdr:from>
      <xdr:col>0</xdr:col>
      <xdr:colOff>1</xdr:colOff>
      <xdr:row>21</xdr:row>
      <xdr:rowOff>9525</xdr:rowOff>
    </xdr:from>
    <xdr:to>
      <xdr:col>0</xdr:col>
      <xdr:colOff>704850</xdr:colOff>
      <xdr:row>21</xdr:row>
      <xdr:rowOff>573405</xdr:rowOff>
    </xdr:to>
    <xdr:pic>
      <xdr:nvPicPr>
        <xdr:cNvPr id="12358" name="Picture 70"/>
        <xdr:cNvPicPr>
          <a:picLocks noChangeAspect="1" noChangeArrowheads="1"/>
        </xdr:cNvPicPr>
      </xdr:nvPicPr>
      <xdr:blipFill>
        <a:blip xmlns:r="http://schemas.openxmlformats.org/officeDocument/2006/relationships" r:embed="rId22" cstate="print"/>
        <a:srcRect/>
        <a:stretch>
          <a:fillRect/>
        </a:stretch>
      </xdr:blipFill>
      <xdr:spPr bwMode="auto">
        <a:xfrm>
          <a:off x="1" y="13963650"/>
          <a:ext cx="704849" cy="563880"/>
        </a:xfrm>
        <a:prstGeom prst="rect">
          <a:avLst/>
        </a:prstGeom>
        <a:noFill/>
        <a:ln w="1">
          <a:noFill/>
          <a:miter lim="800000"/>
          <a:headEnd/>
          <a:tailEnd type="none" w="med" len="med"/>
        </a:ln>
        <a:effectLst/>
      </xdr:spPr>
    </xdr:pic>
    <xdr:clientData/>
  </xdr:twoCellAnchor>
  <xdr:twoCellAnchor editAs="oneCell">
    <xdr:from>
      <xdr:col>0</xdr:col>
      <xdr:colOff>676276</xdr:colOff>
      <xdr:row>21</xdr:row>
      <xdr:rowOff>183266</xdr:rowOff>
    </xdr:from>
    <xdr:to>
      <xdr:col>0</xdr:col>
      <xdr:colOff>1514476</xdr:colOff>
      <xdr:row>21</xdr:row>
      <xdr:rowOff>877013</xdr:rowOff>
    </xdr:to>
    <xdr:pic>
      <xdr:nvPicPr>
        <xdr:cNvPr id="12359" name="Picture 71"/>
        <xdr:cNvPicPr>
          <a:picLocks noChangeAspect="1" noChangeArrowheads="1"/>
        </xdr:cNvPicPr>
      </xdr:nvPicPr>
      <xdr:blipFill>
        <a:blip xmlns:r="http://schemas.openxmlformats.org/officeDocument/2006/relationships" r:embed="rId23" cstate="print"/>
        <a:srcRect/>
        <a:stretch>
          <a:fillRect/>
        </a:stretch>
      </xdr:blipFill>
      <xdr:spPr bwMode="auto">
        <a:xfrm>
          <a:off x="676276" y="14137391"/>
          <a:ext cx="838200" cy="693747"/>
        </a:xfrm>
        <a:prstGeom prst="rect">
          <a:avLst/>
        </a:prstGeom>
        <a:noFill/>
        <a:ln w="1">
          <a:noFill/>
          <a:miter lim="800000"/>
          <a:headEnd/>
          <a:tailEnd type="none" w="med" len="med"/>
        </a:ln>
        <a:effectLst/>
      </xdr:spPr>
    </xdr:pic>
    <xdr:clientData/>
  </xdr:twoCellAnchor>
  <xdr:twoCellAnchor editAs="oneCell">
    <xdr:from>
      <xdr:col>6</xdr:col>
      <xdr:colOff>9525</xdr:colOff>
      <xdr:row>23</xdr:row>
      <xdr:rowOff>9525</xdr:rowOff>
    </xdr:from>
    <xdr:to>
      <xdr:col>9</xdr:col>
      <xdr:colOff>409575</xdr:colOff>
      <xdr:row>34</xdr:row>
      <xdr:rowOff>47625</xdr:rowOff>
    </xdr:to>
    <xdr:pic>
      <xdr:nvPicPr>
        <xdr:cNvPr id="27" name="Picture 4"/>
        <xdr:cNvPicPr>
          <a:picLocks noChangeAspect="1" noChangeArrowheads="1"/>
        </xdr:cNvPicPr>
      </xdr:nvPicPr>
      <xdr:blipFill>
        <a:blip xmlns:r="http://schemas.openxmlformats.org/officeDocument/2006/relationships" r:embed="rId24" cstate="print"/>
        <a:srcRect/>
        <a:stretch>
          <a:fillRect/>
        </a:stretch>
      </xdr:blipFill>
      <xdr:spPr bwMode="auto">
        <a:xfrm>
          <a:off x="5172075" y="14887575"/>
          <a:ext cx="2114550" cy="2028825"/>
        </a:xfrm>
        <a:prstGeom prst="rect">
          <a:avLst/>
        </a:prstGeom>
        <a:noFill/>
        <a:ln w="1">
          <a:noFill/>
          <a:miter lim="800000"/>
          <a:headEnd/>
          <a:tailEnd type="none" w="med" len="med"/>
        </a:ln>
        <a:effectLst/>
      </xdr:spPr>
    </xdr:pic>
    <xdr:clientData/>
  </xdr:twoCellAnchor>
  <xdr:twoCellAnchor>
    <xdr:from>
      <xdr:col>0</xdr:col>
      <xdr:colOff>9525</xdr:colOff>
      <xdr:row>0</xdr:row>
      <xdr:rowOff>19050</xdr:rowOff>
    </xdr:from>
    <xdr:to>
      <xdr:col>0</xdr:col>
      <xdr:colOff>819151</xdr:colOff>
      <xdr:row>0</xdr:row>
      <xdr:rowOff>257175</xdr:rowOff>
    </xdr:to>
    <xdr:sp macro="" textlink="">
      <xdr:nvSpPr>
        <xdr:cNvPr id="28" name="五边形 27">
          <a:hlinkClick xmlns:r="http://schemas.openxmlformats.org/officeDocument/2006/relationships" r:id="rId25"/>
        </xdr:cNvPr>
        <xdr:cNvSpPr/>
      </xdr:nvSpPr>
      <xdr:spPr>
        <a:xfrm flipH="1">
          <a:off x="9525" y="19050"/>
          <a:ext cx="809626" cy="238125"/>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ctr"/>
          <a:r>
            <a:rPr lang="zh-CN" altLang="en-US" sz="1100">
              <a:latin typeface="时尚中黑简体" pitchFamily="2" charset="-122"/>
              <a:ea typeface="时尚中黑简体" pitchFamily="2" charset="-122"/>
            </a:rPr>
            <a:t>返回目录</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1.vml"/><Relationship Id="rId7" Type="http://schemas.openxmlformats.org/officeDocument/2006/relationships/oleObject" Target="../embeddings/oleObject4.bin"/><Relationship Id="rId12" Type="http://schemas.openxmlformats.org/officeDocument/2006/relationships/oleObject" Target="../embeddings/oleObject9.bin"/><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oleObject" Target="../embeddings/oleObject3.bin"/><Relationship Id="rId11" Type="http://schemas.openxmlformats.org/officeDocument/2006/relationships/oleObject" Target="../embeddings/oleObject8.bin"/><Relationship Id="rId5" Type="http://schemas.openxmlformats.org/officeDocument/2006/relationships/oleObject" Target="../embeddings/oleObject2.bin"/><Relationship Id="rId10" Type="http://schemas.openxmlformats.org/officeDocument/2006/relationships/oleObject" Target="../embeddings/oleObject7.bin"/><Relationship Id="rId4" Type="http://schemas.openxmlformats.org/officeDocument/2006/relationships/oleObject" Target="../embeddings/oleObject1.bin"/><Relationship Id="rId9" Type="http://schemas.openxmlformats.org/officeDocument/2006/relationships/oleObject" Target="../embeddings/oleObject6.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14.bin"/><Relationship Id="rId13" Type="http://schemas.openxmlformats.org/officeDocument/2006/relationships/oleObject" Target="../embeddings/oleObject19.bin"/><Relationship Id="rId3" Type="http://schemas.openxmlformats.org/officeDocument/2006/relationships/vmlDrawing" Target="../drawings/vmlDrawing2.vml"/><Relationship Id="rId7" Type="http://schemas.openxmlformats.org/officeDocument/2006/relationships/oleObject" Target="../embeddings/oleObject13.bin"/><Relationship Id="rId12" Type="http://schemas.openxmlformats.org/officeDocument/2006/relationships/oleObject" Target="../embeddings/oleObject18.bin"/><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oleObject" Target="../embeddings/oleObject12.bin"/><Relationship Id="rId11" Type="http://schemas.openxmlformats.org/officeDocument/2006/relationships/oleObject" Target="../embeddings/oleObject17.bin"/><Relationship Id="rId5" Type="http://schemas.openxmlformats.org/officeDocument/2006/relationships/oleObject" Target="../embeddings/oleObject11.bin"/><Relationship Id="rId15" Type="http://schemas.openxmlformats.org/officeDocument/2006/relationships/comments" Target="../comments1.xml"/><Relationship Id="rId10" Type="http://schemas.openxmlformats.org/officeDocument/2006/relationships/oleObject" Target="../embeddings/oleObject16.bin"/><Relationship Id="rId4" Type="http://schemas.openxmlformats.org/officeDocument/2006/relationships/oleObject" Target="../embeddings/oleObject10.bin"/><Relationship Id="rId9" Type="http://schemas.openxmlformats.org/officeDocument/2006/relationships/oleObject" Target="../embeddings/oleObject15.bin"/><Relationship Id="rId14" Type="http://schemas.openxmlformats.org/officeDocument/2006/relationships/oleObject" Target="../embeddings/oleObject20.bin"/></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21.bin"/><Relationship Id="rId2" Type="http://schemas.openxmlformats.org/officeDocument/2006/relationships/vmlDrawing" Target="../drawings/vmlDrawing3.vml"/><Relationship Id="rId1" Type="http://schemas.openxmlformats.org/officeDocument/2006/relationships/drawing" Target="../drawings/drawing5.xml"/><Relationship Id="rId5" Type="http://schemas.openxmlformats.org/officeDocument/2006/relationships/comments" Target="../comments2.xml"/><Relationship Id="rId4" Type="http://schemas.openxmlformats.org/officeDocument/2006/relationships/oleObject" Target="../embeddings/oleObject22.bin"/></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27.bin"/><Relationship Id="rId3" Type="http://schemas.openxmlformats.org/officeDocument/2006/relationships/vmlDrawing" Target="../drawings/vmlDrawing4.vml"/><Relationship Id="rId7" Type="http://schemas.openxmlformats.org/officeDocument/2006/relationships/oleObject" Target="../embeddings/oleObject26.bin"/><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oleObject" Target="../embeddings/oleObject25.bin"/><Relationship Id="rId5" Type="http://schemas.openxmlformats.org/officeDocument/2006/relationships/oleObject" Target="../embeddings/oleObject24.bin"/><Relationship Id="rId4" Type="http://schemas.openxmlformats.org/officeDocument/2006/relationships/oleObject" Target="../embeddings/oleObject23.bin"/><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32.bin"/><Relationship Id="rId3" Type="http://schemas.openxmlformats.org/officeDocument/2006/relationships/vmlDrawing" Target="../drawings/vmlDrawing5.vml"/><Relationship Id="rId7" Type="http://schemas.openxmlformats.org/officeDocument/2006/relationships/oleObject" Target="../embeddings/oleObject31.bin"/><Relationship Id="rId2" Type="http://schemas.openxmlformats.org/officeDocument/2006/relationships/drawing" Target="../drawings/drawing8.xml"/><Relationship Id="rId1" Type="http://schemas.openxmlformats.org/officeDocument/2006/relationships/printerSettings" Target="../printerSettings/printerSettings5.bin"/><Relationship Id="rId6" Type="http://schemas.openxmlformats.org/officeDocument/2006/relationships/oleObject" Target="../embeddings/oleObject30.bin"/><Relationship Id="rId5" Type="http://schemas.openxmlformats.org/officeDocument/2006/relationships/oleObject" Target="../embeddings/oleObject29.bin"/><Relationship Id="rId10" Type="http://schemas.openxmlformats.org/officeDocument/2006/relationships/comments" Target="../comments4.xml"/><Relationship Id="rId4" Type="http://schemas.openxmlformats.org/officeDocument/2006/relationships/oleObject" Target="../embeddings/oleObject28.bin"/><Relationship Id="rId9" Type="http://schemas.openxmlformats.org/officeDocument/2006/relationships/oleObject" Target="../embeddings/oleObject33.bin"/></Relationships>
</file>

<file path=xl/worksheets/_rels/sheet9.xml.rels><?xml version="1.0" encoding="UTF-8" standalone="yes"?>
<Relationships xmlns="http://schemas.openxmlformats.org/package/2006/relationships"><Relationship Id="rId3" Type="http://schemas.openxmlformats.org/officeDocument/2006/relationships/oleObject" Target="../embeddings/oleObject34.bin"/><Relationship Id="rId2" Type="http://schemas.openxmlformats.org/officeDocument/2006/relationships/vmlDrawing" Target="../drawings/vmlDrawing6.vml"/><Relationship Id="rId1" Type="http://schemas.openxmlformats.org/officeDocument/2006/relationships/drawing" Target="../drawings/drawing9.xm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oleObject" Target="../embeddings/oleObject35.bin"/><Relationship Id="rId2" Type="http://schemas.openxmlformats.org/officeDocument/2006/relationships/vmlDrawing" Target="../drawings/vmlDrawing8.vml"/><Relationship Id="rId1" Type="http://schemas.openxmlformats.org/officeDocument/2006/relationships/drawing" Target="../drawings/drawing11.xml"/><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41.bin"/><Relationship Id="rId3" Type="http://schemas.openxmlformats.org/officeDocument/2006/relationships/oleObject" Target="../embeddings/oleObject36.bin"/><Relationship Id="rId7" Type="http://schemas.openxmlformats.org/officeDocument/2006/relationships/oleObject" Target="../embeddings/oleObject40.bin"/><Relationship Id="rId2" Type="http://schemas.openxmlformats.org/officeDocument/2006/relationships/vmlDrawing" Target="../drawings/vmlDrawing10.vml"/><Relationship Id="rId1" Type="http://schemas.openxmlformats.org/officeDocument/2006/relationships/drawing" Target="../drawings/drawing23.xml"/><Relationship Id="rId6" Type="http://schemas.openxmlformats.org/officeDocument/2006/relationships/oleObject" Target="../embeddings/oleObject39.bin"/><Relationship Id="rId5" Type="http://schemas.openxmlformats.org/officeDocument/2006/relationships/oleObject" Target="../embeddings/oleObject38.bin"/><Relationship Id="rId4" Type="http://schemas.openxmlformats.org/officeDocument/2006/relationships/oleObject" Target="../embeddings/oleObject37.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1.v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9.xml"/><Relationship Id="rId1" Type="http://schemas.openxmlformats.org/officeDocument/2006/relationships/printerSettings" Target="../printerSettings/printerSettings12.bin"/><Relationship Id="rId4" Type="http://schemas.openxmlformats.org/officeDocument/2006/relationships/oleObject" Target="../embeddings/oleObject4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8" Type="http://schemas.openxmlformats.org/officeDocument/2006/relationships/oleObject" Target="../embeddings/oleObject47.bin"/><Relationship Id="rId13" Type="http://schemas.openxmlformats.org/officeDocument/2006/relationships/oleObject" Target="../embeddings/oleObject52.bin"/><Relationship Id="rId18" Type="http://schemas.openxmlformats.org/officeDocument/2006/relationships/oleObject" Target="../embeddings/oleObject57.bin"/><Relationship Id="rId26" Type="http://schemas.openxmlformats.org/officeDocument/2006/relationships/oleObject" Target="../embeddings/oleObject65.bin"/><Relationship Id="rId3" Type="http://schemas.openxmlformats.org/officeDocument/2006/relationships/vmlDrawing" Target="../drawings/vmlDrawing13.vml"/><Relationship Id="rId21" Type="http://schemas.openxmlformats.org/officeDocument/2006/relationships/oleObject" Target="../embeddings/oleObject60.bin"/><Relationship Id="rId7" Type="http://schemas.openxmlformats.org/officeDocument/2006/relationships/oleObject" Target="../embeddings/oleObject46.bin"/><Relationship Id="rId12" Type="http://schemas.openxmlformats.org/officeDocument/2006/relationships/oleObject" Target="../embeddings/oleObject51.bin"/><Relationship Id="rId17" Type="http://schemas.openxmlformats.org/officeDocument/2006/relationships/oleObject" Target="../embeddings/oleObject56.bin"/><Relationship Id="rId25" Type="http://schemas.openxmlformats.org/officeDocument/2006/relationships/oleObject" Target="../embeddings/oleObject64.bin"/><Relationship Id="rId2" Type="http://schemas.openxmlformats.org/officeDocument/2006/relationships/drawing" Target="../drawings/drawing35.xml"/><Relationship Id="rId16" Type="http://schemas.openxmlformats.org/officeDocument/2006/relationships/oleObject" Target="../embeddings/oleObject55.bin"/><Relationship Id="rId20" Type="http://schemas.openxmlformats.org/officeDocument/2006/relationships/oleObject" Target="../embeddings/oleObject59.bin"/><Relationship Id="rId29" Type="http://schemas.openxmlformats.org/officeDocument/2006/relationships/oleObject" Target="../embeddings/oleObject68.bin"/><Relationship Id="rId1" Type="http://schemas.openxmlformats.org/officeDocument/2006/relationships/printerSettings" Target="../printerSettings/printerSettings18.bin"/><Relationship Id="rId6" Type="http://schemas.openxmlformats.org/officeDocument/2006/relationships/oleObject" Target="../embeddings/oleObject45.bin"/><Relationship Id="rId11" Type="http://schemas.openxmlformats.org/officeDocument/2006/relationships/oleObject" Target="../embeddings/oleObject50.bin"/><Relationship Id="rId24" Type="http://schemas.openxmlformats.org/officeDocument/2006/relationships/oleObject" Target="../embeddings/oleObject63.bin"/><Relationship Id="rId5" Type="http://schemas.openxmlformats.org/officeDocument/2006/relationships/oleObject" Target="../embeddings/oleObject44.bin"/><Relationship Id="rId15" Type="http://schemas.openxmlformats.org/officeDocument/2006/relationships/oleObject" Target="../embeddings/oleObject54.bin"/><Relationship Id="rId23" Type="http://schemas.openxmlformats.org/officeDocument/2006/relationships/oleObject" Target="../embeddings/oleObject62.bin"/><Relationship Id="rId28" Type="http://schemas.openxmlformats.org/officeDocument/2006/relationships/oleObject" Target="../embeddings/oleObject67.bin"/><Relationship Id="rId10" Type="http://schemas.openxmlformats.org/officeDocument/2006/relationships/oleObject" Target="../embeddings/oleObject49.bin"/><Relationship Id="rId19" Type="http://schemas.openxmlformats.org/officeDocument/2006/relationships/oleObject" Target="../embeddings/oleObject58.bin"/><Relationship Id="rId4" Type="http://schemas.openxmlformats.org/officeDocument/2006/relationships/oleObject" Target="../embeddings/oleObject43.bin"/><Relationship Id="rId9" Type="http://schemas.openxmlformats.org/officeDocument/2006/relationships/oleObject" Target="../embeddings/oleObject48.bin"/><Relationship Id="rId14" Type="http://schemas.openxmlformats.org/officeDocument/2006/relationships/oleObject" Target="../embeddings/oleObject53.bin"/><Relationship Id="rId22" Type="http://schemas.openxmlformats.org/officeDocument/2006/relationships/oleObject" Target="../embeddings/oleObject61.bin"/><Relationship Id="rId27" Type="http://schemas.openxmlformats.org/officeDocument/2006/relationships/oleObject" Target="../embeddings/oleObject66.bin"/></Relationships>
</file>

<file path=xl/worksheets/sheet1.xml><?xml version="1.0" encoding="utf-8"?>
<worksheet xmlns="http://schemas.openxmlformats.org/spreadsheetml/2006/main" xmlns:r="http://schemas.openxmlformats.org/officeDocument/2006/relationships">
  <sheetPr codeName="Sheet7"/>
  <dimension ref="A1:E102"/>
  <sheetViews>
    <sheetView tabSelected="1" workbookViewId="0">
      <selection activeCell="F7" sqref="F7"/>
    </sheetView>
  </sheetViews>
  <sheetFormatPr defaultRowHeight="20.100000000000001" customHeight="1"/>
  <cols>
    <col min="1" max="1" width="7.125" customWidth="1"/>
    <col min="2" max="2" width="27.75" customWidth="1"/>
    <col min="3" max="3" width="66.375" customWidth="1"/>
  </cols>
  <sheetData>
    <row r="1" spans="1:5" ht="20.100000000000001" customHeight="1">
      <c r="A1" s="217" t="s">
        <v>1703</v>
      </c>
      <c r="B1" s="217" t="s">
        <v>1728</v>
      </c>
      <c r="C1" s="148" t="s">
        <v>2792</v>
      </c>
    </row>
    <row r="2" spans="1:5" ht="20.100000000000001" customHeight="1">
      <c r="A2" s="481">
        <v>1</v>
      </c>
      <c r="B2" s="488" t="s">
        <v>2798</v>
      </c>
      <c r="C2" s="482" t="s">
        <v>2793</v>
      </c>
    </row>
    <row r="3" spans="1:5" ht="20.100000000000001" customHeight="1">
      <c r="A3" s="481">
        <v>2</v>
      </c>
      <c r="B3" s="488" t="s">
        <v>2785</v>
      </c>
      <c r="C3" s="483" t="s">
        <v>2794</v>
      </c>
    </row>
    <row r="4" spans="1:5" ht="20.100000000000001" customHeight="1">
      <c r="A4" s="481">
        <v>3</v>
      </c>
      <c r="B4" s="488" t="s">
        <v>2797</v>
      </c>
      <c r="C4" s="483" t="s">
        <v>1704</v>
      </c>
    </row>
    <row r="5" spans="1:5" ht="20.100000000000001" customHeight="1">
      <c r="A5" s="481">
        <v>4</v>
      </c>
      <c r="B5" s="488" t="s">
        <v>1708</v>
      </c>
      <c r="C5" s="679" t="s">
        <v>2789</v>
      </c>
    </row>
    <row r="6" spans="1:5" ht="20.100000000000001" customHeight="1">
      <c r="A6" s="481">
        <v>5</v>
      </c>
      <c r="B6" s="488" t="s">
        <v>1709</v>
      </c>
      <c r="C6" s="483" t="s">
        <v>2791</v>
      </c>
    </row>
    <row r="7" spans="1:5" ht="20.100000000000001" customHeight="1">
      <c r="A7" s="481">
        <v>6</v>
      </c>
      <c r="B7" s="487" t="s">
        <v>2776</v>
      </c>
      <c r="C7" s="483" t="s">
        <v>2790</v>
      </c>
      <c r="D7" s="680"/>
    </row>
    <row r="8" spans="1:5" ht="20.100000000000001" customHeight="1">
      <c r="A8" s="481">
        <v>7</v>
      </c>
      <c r="B8" s="487" t="s">
        <v>2777</v>
      </c>
      <c r="C8" s="483" t="s">
        <v>1705</v>
      </c>
    </row>
    <row r="9" spans="1:5" ht="20.100000000000001" customHeight="1">
      <c r="A9" s="481">
        <v>8</v>
      </c>
      <c r="B9" s="487" t="s">
        <v>1710</v>
      </c>
      <c r="C9" s="483" t="s">
        <v>2787</v>
      </c>
    </row>
    <row r="10" spans="1:5" ht="20.100000000000001" customHeight="1">
      <c r="A10" s="481">
        <v>9</v>
      </c>
      <c r="B10" s="488" t="s">
        <v>1711</v>
      </c>
      <c r="C10" s="484" t="s">
        <v>1706</v>
      </c>
      <c r="E10" s="485"/>
    </row>
    <row r="11" spans="1:5" ht="20.100000000000001" customHeight="1">
      <c r="A11" s="481">
        <v>10</v>
      </c>
      <c r="B11" s="488" t="s">
        <v>1712</v>
      </c>
      <c r="C11" s="486" t="s">
        <v>1707</v>
      </c>
      <c r="D11" s="485"/>
      <c r="E11" s="485"/>
    </row>
    <row r="12" spans="1:5" ht="20.100000000000001" customHeight="1">
      <c r="A12" s="481">
        <v>11</v>
      </c>
      <c r="B12" s="488" t="s">
        <v>1713</v>
      </c>
      <c r="C12" s="736" t="s">
        <v>2788</v>
      </c>
      <c r="D12" s="485"/>
      <c r="E12" s="485"/>
    </row>
    <row r="13" spans="1:5" ht="20.100000000000001" customHeight="1">
      <c r="A13" s="481">
        <v>12</v>
      </c>
      <c r="B13" s="488" t="s">
        <v>1714</v>
      </c>
      <c r="C13" s="736"/>
      <c r="D13" s="485"/>
      <c r="E13" s="485"/>
    </row>
    <row r="14" spans="1:5" ht="20.100000000000001" customHeight="1">
      <c r="A14" s="481">
        <v>13</v>
      </c>
      <c r="B14" s="488" t="s">
        <v>1715</v>
      </c>
      <c r="C14" s="736"/>
      <c r="D14" s="485"/>
      <c r="E14" s="485"/>
    </row>
    <row r="15" spans="1:5" ht="20.100000000000001" customHeight="1">
      <c r="A15" s="481">
        <v>14</v>
      </c>
      <c r="B15" s="488" t="s">
        <v>1716</v>
      </c>
      <c r="C15" s="736"/>
      <c r="D15" s="485"/>
      <c r="E15" s="485"/>
    </row>
    <row r="16" spans="1:5" ht="20.100000000000001" customHeight="1">
      <c r="A16" s="481">
        <v>15</v>
      </c>
      <c r="B16" s="488" t="s">
        <v>1717</v>
      </c>
      <c r="C16" s="736"/>
      <c r="D16" s="485"/>
    </row>
    <row r="17" spans="1:3" ht="20.100000000000001" customHeight="1">
      <c r="A17" s="481">
        <v>16</v>
      </c>
      <c r="B17" s="487" t="s">
        <v>1718</v>
      </c>
      <c r="C17" s="736"/>
    </row>
    <row r="18" spans="1:3" ht="20.100000000000001" customHeight="1">
      <c r="A18" s="481">
        <v>17</v>
      </c>
      <c r="B18" s="488" t="s">
        <v>1719</v>
      </c>
      <c r="C18" s="736"/>
    </row>
    <row r="19" spans="1:3" ht="20.100000000000001" customHeight="1">
      <c r="A19" s="481">
        <v>18</v>
      </c>
      <c r="B19" s="488" t="s">
        <v>1720</v>
      </c>
      <c r="C19" s="736"/>
    </row>
    <row r="20" spans="1:3" ht="20.100000000000001" customHeight="1">
      <c r="A20" s="481">
        <v>19</v>
      </c>
      <c r="B20" s="488" t="s">
        <v>1721</v>
      </c>
      <c r="C20" s="736"/>
    </row>
    <row r="21" spans="1:3" ht="20.100000000000001" customHeight="1">
      <c r="A21" s="481">
        <v>20</v>
      </c>
      <c r="B21" s="487" t="s">
        <v>2778</v>
      </c>
      <c r="C21" s="148" t="s">
        <v>2795</v>
      </c>
    </row>
    <row r="22" spans="1:3" ht="20.100000000000001" customHeight="1">
      <c r="A22" s="481">
        <v>21</v>
      </c>
      <c r="B22" s="487" t="s">
        <v>2779</v>
      </c>
      <c r="C22" s="737" t="s">
        <v>2796</v>
      </c>
    </row>
    <row r="23" spans="1:3" ht="20.100000000000001" customHeight="1">
      <c r="A23" s="481">
        <v>22</v>
      </c>
      <c r="B23" s="487" t="s">
        <v>2780</v>
      </c>
      <c r="C23" s="738"/>
    </row>
    <row r="24" spans="1:3" ht="20.100000000000001" customHeight="1">
      <c r="A24" s="481">
        <v>23</v>
      </c>
      <c r="B24" s="487" t="s">
        <v>2781</v>
      </c>
      <c r="C24" s="738"/>
    </row>
    <row r="25" spans="1:3" ht="20.100000000000001" customHeight="1">
      <c r="A25" s="481">
        <v>24</v>
      </c>
      <c r="B25" s="488" t="s">
        <v>1609</v>
      </c>
      <c r="C25" s="738"/>
    </row>
    <row r="26" spans="1:3" ht="20.100000000000001" customHeight="1">
      <c r="A26" s="481">
        <v>25</v>
      </c>
      <c r="B26" s="487" t="s">
        <v>1722</v>
      </c>
      <c r="C26" s="738"/>
    </row>
    <row r="27" spans="1:3" ht="20.100000000000001" customHeight="1">
      <c r="A27" s="481">
        <v>26</v>
      </c>
      <c r="B27" s="489" t="s">
        <v>1723</v>
      </c>
      <c r="C27" s="738"/>
    </row>
    <row r="28" spans="1:3" ht="20.100000000000001" customHeight="1">
      <c r="A28" s="481">
        <v>27</v>
      </c>
      <c r="B28" s="487" t="s">
        <v>1724</v>
      </c>
      <c r="C28" s="738"/>
    </row>
    <row r="29" spans="1:3" ht="20.100000000000001" customHeight="1">
      <c r="A29" s="481">
        <v>28</v>
      </c>
      <c r="B29" s="488" t="s">
        <v>2786</v>
      </c>
      <c r="C29" s="738"/>
    </row>
    <row r="30" spans="1:3" ht="20.100000000000001" customHeight="1">
      <c r="A30" s="481">
        <v>29</v>
      </c>
      <c r="B30" s="488" t="s">
        <v>2784</v>
      </c>
      <c r="C30" s="738"/>
    </row>
    <row r="31" spans="1:3" ht="20.100000000000001" customHeight="1">
      <c r="A31" s="481">
        <v>30</v>
      </c>
      <c r="B31" s="488" t="s">
        <v>2782</v>
      </c>
      <c r="C31" s="738"/>
    </row>
    <row r="32" spans="1:3" ht="20.100000000000001" customHeight="1">
      <c r="A32" s="481">
        <v>31</v>
      </c>
      <c r="B32" s="488" t="s">
        <v>1725</v>
      </c>
      <c r="C32" s="738"/>
    </row>
    <row r="33" spans="1:3" ht="20.100000000000001" customHeight="1">
      <c r="A33" s="481">
        <v>32</v>
      </c>
      <c r="B33" s="488" t="s">
        <v>1726</v>
      </c>
      <c r="C33" s="738"/>
    </row>
    <row r="34" spans="1:3" ht="20.100000000000001" customHeight="1">
      <c r="A34" s="481">
        <v>33</v>
      </c>
      <c r="B34" s="487" t="s">
        <v>1727</v>
      </c>
      <c r="C34" s="738"/>
    </row>
    <row r="35" spans="1:3" ht="20.100000000000001" customHeight="1">
      <c r="A35" s="481">
        <v>34</v>
      </c>
      <c r="B35" s="487" t="s">
        <v>2783</v>
      </c>
      <c r="C35" s="738"/>
    </row>
    <row r="36" spans="1:3" ht="20.100000000000001" customHeight="1">
      <c r="B36" s="480" t="str">
        <f>IFERROR(HYPERLINK(目录&amp;"!A1",MID(目录,FIND("]",目录)+1,99)),"")</f>
        <v/>
      </c>
    </row>
    <row r="37" spans="1:3" ht="20.100000000000001" customHeight="1">
      <c r="B37" s="480" t="str">
        <f>IFERROR(HYPERLINK(目录&amp;"!A1",MID(目录,FIND("]",目录)+1,99)),"")</f>
        <v/>
      </c>
    </row>
    <row r="38" spans="1:3" ht="20.100000000000001" customHeight="1">
      <c r="B38" s="480" t="str">
        <f>IFERROR(HYPERLINK(目录&amp;"!A1",MID(目录,FIND("]",目录)+1,99)),"")</f>
        <v/>
      </c>
    </row>
    <row r="39" spans="1:3" ht="20.100000000000001" customHeight="1">
      <c r="B39" s="480" t="str">
        <f>IFERROR(HYPERLINK(目录&amp;"!A1",MID(目录,FIND("]",目录)+1,99)),"")</f>
        <v/>
      </c>
    </row>
    <row r="40" spans="1:3" ht="20.100000000000001" customHeight="1">
      <c r="B40" t="str">
        <f>IFERROR(HYPERLINK(目录&amp;"!A1",MID(目录,FIND("]",目录)+1,99)),"")</f>
        <v/>
      </c>
    </row>
    <row r="41" spans="1:3" ht="20.100000000000001" customHeight="1">
      <c r="B41" t="str">
        <f>IFERROR(HYPERLINK(目录&amp;"!A1",MID(目录,FIND("]",目录)+1,99)),"")</f>
        <v/>
      </c>
    </row>
    <row r="42" spans="1:3" ht="20.100000000000001" customHeight="1">
      <c r="B42" t="str">
        <f>IFERROR(HYPERLINK(目录&amp;"!A1",MID(目录,FIND("]",目录)+1,99)),"")</f>
        <v/>
      </c>
    </row>
    <row r="43" spans="1:3" ht="20.100000000000001" customHeight="1">
      <c r="B43" t="str">
        <f>IFERROR(HYPERLINK(目录&amp;"!A1",MID(目录,FIND("]",目录)+1,99)),"")</f>
        <v/>
      </c>
    </row>
    <row r="44" spans="1:3" ht="20.100000000000001" customHeight="1">
      <c r="B44" t="str">
        <f>IFERROR(HYPERLINK(目录&amp;"!A1",MID(目录,FIND("]",目录)+1,99)),"")</f>
        <v/>
      </c>
    </row>
    <row r="45" spans="1:3" ht="20.100000000000001" customHeight="1">
      <c r="B45" t="str">
        <f>IFERROR(HYPERLINK(目录&amp;"!A1",MID(目录,FIND("]",目录)+1,99)),"")</f>
        <v/>
      </c>
    </row>
    <row r="46" spans="1:3" ht="20.100000000000001" customHeight="1">
      <c r="B46" t="str">
        <f>IFERROR(HYPERLINK(目录&amp;"!A1",MID(目录,FIND("]",目录)+1,99)),"")</f>
        <v/>
      </c>
    </row>
    <row r="47" spans="1:3" ht="20.100000000000001" customHeight="1">
      <c r="B47" t="str">
        <f>IFERROR(HYPERLINK(目录&amp;"!A1",MID(目录,FIND("]",目录)+1,99)),"")</f>
        <v/>
      </c>
    </row>
    <row r="48" spans="1:3" ht="20.100000000000001" customHeight="1">
      <c r="B48" t="str">
        <f>IFERROR(HYPERLINK(目录&amp;"!A1",MID(目录,FIND("]",目录)+1,99)),"")</f>
        <v/>
      </c>
    </row>
    <row r="49" spans="2:2" ht="20.100000000000001" customHeight="1">
      <c r="B49" t="str">
        <f>IFERROR(HYPERLINK(目录&amp;"!A1",MID(目录,FIND("]",目录)+1,99)),"")</f>
        <v/>
      </c>
    </row>
    <row r="50" spans="2:2" ht="20.100000000000001" customHeight="1">
      <c r="B50" t="str">
        <f>IFERROR(HYPERLINK(目录&amp;"!A1",MID(目录,FIND("]",目录)+1,99)),"")</f>
        <v/>
      </c>
    </row>
    <row r="51" spans="2:2" ht="20.100000000000001" customHeight="1">
      <c r="B51" t="str">
        <f>IFERROR(HYPERLINK(目录&amp;"!A1",MID(目录,FIND("]",目录)+1,99)),"")</f>
        <v/>
      </c>
    </row>
    <row r="52" spans="2:2" ht="20.100000000000001" customHeight="1">
      <c r="B52" t="str">
        <f>IFERROR(HYPERLINK(目录&amp;"!A1",MID(目录,FIND("]",目录)+1,99)),"")</f>
        <v/>
      </c>
    </row>
    <row r="53" spans="2:2" ht="20.100000000000001" customHeight="1">
      <c r="B53" t="str">
        <f>IFERROR(HYPERLINK(目录&amp;"!A1",MID(目录,FIND("]",目录)+1,99)),"")</f>
        <v/>
      </c>
    </row>
    <row r="54" spans="2:2" ht="20.100000000000001" customHeight="1">
      <c r="B54" t="str">
        <f>IFERROR(HYPERLINK(目录&amp;"!A1",MID(目录,FIND("]",目录)+1,99)),"")</f>
        <v/>
      </c>
    </row>
    <row r="55" spans="2:2" ht="20.100000000000001" customHeight="1">
      <c r="B55" t="str">
        <f>IFERROR(HYPERLINK(目录&amp;"!A1",MID(目录,FIND("]",目录)+1,99)),"")</f>
        <v/>
      </c>
    </row>
    <row r="56" spans="2:2" ht="20.100000000000001" customHeight="1">
      <c r="B56" t="str">
        <f>IFERROR(HYPERLINK(目录&amp;"!A1",MID(目录,FIND("]",目录)+1,99)),"")</f>
        <v/>
      </c>
    </row>
    <row r="57" spans="2:2" ht="20.100000000000001" customHeight="1">
      <c r="B57" t="str">
        <f>IFERROR(HYPERLINK(目录&amp;"!A1",MID(目录,FIND("]",目录)+1,99)),"")</f>
        <v/>
      </c>
    </row>
    <row r="58" spans="2:2" ht="20.100000000000001" customHeight="1">
      <c r="B58" t="str">
        <f>IFERROR(HYPERLINK(目录&amp;"!A1",MID(目录,FIND("]",目录)+1,99)),"")</f>
        <v/>
      </c>
    </row>
    <row r="59" spans="2:2" ht="20.100000000000001" customHeight="1">
      <c r="B59" t="str">
        <f>IFERROR(HYPERLINK(目录&amp;"!A1",MID(目录,FIND("]",目录)+1,99)),"")</f>
        <v/>
      </c>
    </row>
    <row r="60" spans="2:2" ht="20.100000000000001" customHeight="1">
      <c r="B60" t="str">
        <f>IFERROR(HYPERLINK(目录&amp;"!A1",MID(目录,FIND("]",目录)+1,99)),"")</f>
        <v/>
      </c>
    </row>
    <row r="61" spans="2:2" ht="20.100000000000001" customHeight="1">
      <c r="B61" t="str">
        <f>IFERROR(HYPERLINK(目录&amp;"!A1",MID(目录,FIND("]",目录)+1,99)),"")</f>
        <v/>
      </c>
    </row>
    <row r="62" spans="2:2" ht="20.100000000000001" customHeight="1">
      <c r="B62" t="str">
        <f>IFERROR(HYPERLINK(目录&amp;"!A1",MID(目录,FIND("]",目录)+1,99)),"")</f>
        <v/>
      </c>
    </row>
    <row r="63" spans="2:2" ht="20.100000000000001" customHeight="1">
      <c r="B63" t="str">
        <f>IFERROR(HYPERLINK(目录&amp;"!A1",MID(目录,FIND("]",目录)+1,99)),"")</f>
        <v/>
      </c>
    </row>
    <row r="64" spans="2:2" ht="20.100000000000001" customHeight="1">
      <c r="B64" t="str">
        <f>IFERROR(HYPERLINK(目录&amp;"!A1",MID(目录,FIND("]",目录)+1,99)),"")</f>
        <v/>
      </c>
    </row>
    <row r="65" spans="2:2" ht="20.100000000000001" customHeight="1">
      <c r="B65" t="str">
        <f>IFERROR(HYPERLINK(目录&amp;"!A1",MID(目录,FIND("]",目录)+1,99)),"")</f>
        <v/>
      </c>
    </row>
    <row r="66" spans="2:2" ht="20.100000000000001" customHeight="1">
      <c r="B66" t="str">
        <f>IFERROR(HYPERLINK(目录&amp;"!A1",MID(目录,FIND("]",目录)+1,99)),"")</f>
        <v/>
      </c>
    </row>
    <row r="67" spans="2:2" ht="20.100000000000001" customHeight="1">
      <c r="B67" t="str">
        <f>IFERROR(HYPERLINK(—目录—&amp;"!A1",MID(—目录—,FIND("]",—目录—)+1,99)),"")</f>
        <v/>
      </c>
    </row>
    <row r="68" spans="2:2" ht="20.100000000000001" customHeight="1">
      <c r="B68" t="str">
        <f>IFERROR(HYPERLINK(—目录—&amp;"!A1",MID(—目录—,FIND("]",—目录—)+1,99)),"")</f>
        <v/>
      </c>
    </row>
    <row r="69" spans="2:2" ht="20.100000000000001" customHeight="1">
      <c r="B69" t="str">
        <f>IFERROR(HYPERLINK(—目录—&amp;"!A1",MID(—目录—,FIND("]",—目录—)+1,99)),"")</f>
        <v/>
      </c>
    </row>
    <row r="70" spans="2:2" ht="20.100000000000001" customHeight="1">
      <c r="B70" t="str">
        <f>IFERROR(HYPERLINK(—目录—&amp;"!A1",MID(—目录—,FIND("]",—目录—)+1,99)),"")</f>
        <v/>
      </c>
    </row>
    <row r="71" spans="2:2" ht="20.100000000000001" customHeight="1">
      <c r="B71" t="str">
        <f>IFERROR(HYPERLINK(—目录—&amp;"!A1",MID(—目录—,FIND("]",—目录—)+1,99)),"")</f>
        <v/>
      </c>
    </row>
    <row r="72" spans="2:2" ht="20.100000000000001" customHeight="1">
      <c r="B72" t="str">
        <f>IFERROR(HYPERLINK(—目录—&amp;"!A1",MID(—目录—,FIND("]",—目录—)+1,99)),"")</f>
        <v/>
      </c>
    </row>
    <row r="73" spans="2:2" ht="20.100000000000001" customHeight="1">
      <c r="B73" t="str">
        <f>IFERROR(HYPERLINK(—目录—&amp;"!A1",MID(—目录—,FIND("]",—目录—)+1,99)),"")</f>
        <v/>
      </c>
    </row>
    <row r="74" spans="2:2" ht="20.100000000000001" customHeight="1">
      <c r="B74" t="str">
        <f>IFERROR(HYPERLINK(—目录—&amp;"!A1",MID(—目录—,FIND("]",—目录—)+1,99)),"")</f>
        <v/>
      </c>
    </row>
    <row r="75" spans="2:2" ht="20.100000000000001" customHeight="1">
      <c r="B75" t="str">
        <f>IFERROR(HYPERLINK(—目录—&amp;"!A1",MID(—目录—,FIND("]",—目录—)+1,99)),"")</f>
        <v/>
      </c>
    </row>
    <row r="76" spans="2:2" ht="20.100000000000001" customHeight="1">
      <c r="B76" t="str">
        <f>IFERROR(HYPERLINK(—目录—&amp;"!A1",MID(—目录—,FIND("]",—目录—)+1,99)),"")</f>
        <v/>
      </c>
    </row>
    <row r="77" spans="2:2" ht="20.100000000000001" customHeight="1">
      <c r="B77" t="str">
        <f>IFERROR(HYPERLINK(—目录—&amp;"!A1",MID(—目录—,FIND("]",—目录—)+1,99)),"")</f>
        <v/>
      </c>
    </row>
    <row r="78" spans="2:2" ht="20.100000000000001" customHeight="1">
      <c r="B78" t="str">
        <f>IFERROR(HYPERLINK(—目录—&amp;"!A1",MID(—目录—,FIND("]",—目录—)+1,99)),"")</f>
        <v/>
      </c>
    </row>
    <row r="79" spans="2:2" ht="20.100000000000001" customHeight="1">
      <c r="B79" t="str">
        <f>IFERROR(HYPERLINK(—目录—&amp;"!A1",MID(—目录—,FIND("]",—目录—)+1,99)),"")</f>
        <v/>
      </c>
    </row>
    <row r="80" spans="2:2" ht="20.100000000000001" customHeight="1">
      <c r="B80" t="str">
        <f>IFERROR(HYPERLINK(—目录—&amp;"!A1",MID(—目录—,FIND("]",—目录—)+1,99)),"")</f>
        <v/>
      </c>
    </row>
    <row r="81" spans="2:2" ht="20.100000000000001" customHeight="1">
      <c r="B81" t="str">
        <f>IFERROR(HYPERLINK(—目录—&amp;"!A1",MID(—目录—,FIND("]",—目录—)+1,99)),"")</f>
        <v/>
      </c>
    </row>
    <row r="82" spans="2:2" ht="20.100000000000001" customHeight="1">
      <c r="B82" t="str">
        <f>IFERROR(HYPERLINK(—目录—&amp;"!A1",MID(—目录—,FIND("]",—目录—)+1,99)),"")</f>
        <v/>
      </c>
    </row>
    <row r="83" spans="2:2" ht="20.100000000000001" customHeight="1">
      <c r="B83" t="str">
        <f>IFERROR(HYPERLINK(—目录—&amp;"!A1",MID(—目录—,FIND("]",—目录—)+1,99)),"")</f>
        <v/>
      </c>
    </row>
    <row r="84" spans="2:2" ht="20.100000000000001" customHeight="1">
      <c r="B84" t="str">
        <f>IFERROR(HYPERLINK(—目录—&amp;"!A1",MID(—目录—,FIND("]",—目录—)+1,99)),"")</f>
        <v/>
      </c>
    </row>
    <row r="85" spans="2:2" ht="20.100000000000001" customHeight="1">
      <c r="B85" t="str">
        <f>IFERROR(HYPERLINK(—目录—&amp;"!A1",MID(—目录—,FIND("]",—目录—)+1,99)),"")</f>
        <v/>
      </c>
    </row>
    <row r="86" spans="2:2" ht="20.100000000000001" customHeight="1">
      <c r="B86" t="str">
        <f>IFERROR(HYPERLINK(—目录—&amp;"!A1",MID(—目录—,FIND("]",—目录—)+1,99)),"")</f>
        <v/>
      </c>
    </row>
    <row r="87" spans="2:2" ht="20.100000000000001" customHeight="1">
      <c r="B87" t="str">
        <f>IFERROR(HYPERLINK(—目录—&amp;"!A1",MID(—目录—,FIND("]",—目录—)+1,99)),"")</f>
        <v/>
      </c>
    </row>
    <row r="88" spans="2:2" ht="20.100000000000001" customHeight="1">
      <c r="B88" t="str">
        <f>IFERROR(HYPERLINK(—目录—&amp;"!A1",MID(—目录—,FIND("]",—目录—)+1,99)),"")</f>
        <v/>
      </c>
    </row>
    <row r="89" spans="2:2" ht="20.100000000000001" customHeight="1">
      <c r="B89" t="str">
        <f>IFERROR(HYPERLINK(—目录—&amp;"!A1",MID(—目录—,FIND("]",—目录—)+1,99)),"")</f>
        <v/>
      </c>
    </row>
    <row r="90" spans="2:2" ht="20.100000000000001" customHeight="1">
      <c r="B90" t="str">
        <f>IFERROR(HYPERLINK(—目录—&amp;"!A1",MID(—目录—,FIND("]",—目录—)+1,99)),"")</f>
        <v/>
      </c>
    </row>
    <row r="91" spans="2:2" ht="20.100000000000001" customHeight="1">
      <c r="B91" t="str">
        <f>IFERROR(HYPERLINK(—目录—&amp;"!A1",MID(—目录—,FIND("]",—目录—)+1,99)),"")</f>
        <v/>
      </c>
    </row>
    <row r="92" spans="2:2" ht="20.100000000000001" customHeight="1">
      <c r="B92" t="str">
        <f>IFERROR(HYPERLINK(—目录—&amp;"!A1",MID(—目录—,FIND("]",—目录—)+1,99)),"")</f>
        <v/>
      </c>
    </row>
    <row r="93" spans="2:2" ht="20.100000000000001" customHeight="1">
      <c r="B93" t="str">
        <f>IFERROR(HYPERLINK(—目录—&amp;"!A1",MID(—目录—,FIND("]",—目录—)+1,99)),"")</f>
        <v/>
      </c>
    </row>
    <row r="94" spans="2:2" ht="20.100000000000001" customHeight="1">
      <c r="B94" t="str">
        <f>IFERROR(HYPERLINK(—目录—&amp;"!A1",MID(—目录—,FIND("]",—目录—)+1,99)),"")</f>
        <v/>
      </c>
    </row>
    <row r="95" spans="2:2" ht="20.100000000000001" customHeight="1">
      <c r="B95" t="str">
        <f>IFERROR(HYPERLINK(—目录—&amp;"!A1",MID(—目录—,FIND("]",—目录—)+1,99)),"")</f>
        <v/>
      </c>
    </row>
    <row r="96" spans="2:2" ht="20.100000000000001" customHeight="1">
      <c r="B96" t="str">
        <f>IFERROR(HYPERLINK(—目录—&amp;"!A1",MID(—目录—,FIND("]",—目录—)+1,99)),"")</f>
        <v/>
      </c>
    </row>
    <row r="97" spans="2:2" ht="20.100000000000001" customHeight="1">
      <c r="B97" t="str">
        <f>IFERROR(HYPERLINK(—目录—&amp;"!A1",MID(—目录—,FIND("]",—目录—)+1,99)),"")</f>
        <v/>
      </c>
    </row>
    <row r="98" spans="2:2" ht="20.100000000000001" customHeight="1">
      <c r="B98" t="str">
        <f>IFERROR(HYPERLINK(—目录—&amp;"!A1",MID(—目录—,FIND("]",—目录—)+1,99)),"")</f>
        <v/>
      </c>
    </row>
    <row r="99" spans="2:2" ht="20.100000000000001" customHeight="1">
      <c r="B99" t="str">
        <f>IFERROR(HYPERLINK(—目录—&amp;"!A1",MID(—目录—,FIND("]",—目录—)+1,99)),"")</f>
        <v/>
      </c>
    </row>
    <row r="100" spans="2:2" ht="20.100000000000001" customHeight="1">
      <c r="B100" t="str">
        <f>IFERROR(HYPERLINK(—目录—&amp;"!A1",MID(—目录—,FIND("]",—目录—)+1,99)),"")</f>
        <v/>
      </c>
    </row>
    <row r="101" spans="2:2" ht="20.100000000000001" customHeight="1">
      <c r="B101" t="str">
        <f>IFERROR(HYPERLINK(—目录—&amp;"!A1",MID(—目录—,FIND("]",—目录—)+1,99)),"")</f>
        <v/>
      </c>
    </row>
    <row r="102" spans="2:2" ht="20.100000000000001" customHeight="1">
      <c r="B102" t="str">
        <f>IFERROR(HYPERLINK(—目录—&amp;"!A1",MID(—目录—,FIND("]",—目录—)+1,99)),"")</f>
        <v/>
      </c>
    </row>
  </sheetData>
  <sheetProtection password="828E" sheet="1" objects="1" scenarios="1"/>
  <mergeCells count="2">
    <mergeCell ref="C12:C20"/>
    <mergeCell ref="C22:C35"/>
  </mergeCells>
  <phoneticPr fontId="4" type="noConversion"/>
  <hyperlinks>
    <hyperlink ref="B31" location="凸轮分割器!A1" display="凸轮分割器"/>
    <hyperlink ref="B29" location="滚珠丝杆选型!A1" display="滚珠丝杆选型"/>
    <hyperlink ref="B24" location="液压泵选型向导!A1" display="液压泵选型向导"/>
    <hyperlink ref="B23" location="液压马达选型向导!A1" display="液压马达选型向导"/>
    <hyperlink ref="B22" location="液压缸选型向导!A1" display="液压缸选型向导"/>
    <hyperlink ref="B21" location="油压缓冲器选型!A1" display="油压缓冲器选型"/>
    <hyperlink ref="B8" location="弹簧校核计算!A1" display="弹簧校核计算"/>
    <hyperlink ref="B7" location="螺栓螺钉计算!A1" display="螺栓螺钉计算"/>
    <hyperlink ref="B3" location="轴承校核计算!A1" display="轴承校核计算"/>
    <hyperlink ref="B4" location="圆柱齿轮强度!A1" display="圆柱齿轮强度"/>
    <hyperlink ref="B5" location="锥齿轮强度!A1" display="锥齿轮强度!A1"/>
    <hyperlink ref="B6" location="蜗杆蜗轮强度!A1" display="蜗杆蜗轮强度!A1"/>
    <hyperlink ref="B9" location="V带选型向导!A1" display="V带选型向导!A1"/>
    <hyperlink ref="B10" location="同步带选型向导!A1" display="同步带选型向导!A1"/>
    <hyperlink ref="B11" location="传送平带转矩计算!A1" display="传送平带转矩计算!A1"/>
    <hyperlink ref="B12" location="滚子链选型向导!A1" display="滚子链选型向导!A1"/>
    <hyperlink ref="B13" location="倍速链选型向导!A1" display="倍速链选型向导!A1"/>
    <hyperlink ref="B14" location="气缸选型向导!A1" display="气缸选型向导!A1"/>
    <hyperlink ref="B15" location="回转气缸选型向导!A1" display="回转气缸选型向导!A1"/>
    <hyperlink ref="B16" location="普通滑台气缸选型向导!A1" display="普通滑台气缸选型向导!A1"/>
    <hyperlink ref="B17" location="'精密滑台气缸选型向导 '!A1" display="'精密滑台气缸选型向导 '!A1"/>
    <hyperlink ref="B18" location="气动手指选型向导!A1" display="气动手指选型向导!A1"/>
    <hyperlink ref="B19" location="电磁阀选型向导!A1" display="电磁阀选型向导!A1"/>
    <hyperlink ref="B20" location="真空吸盘与发生器!A1" display="真空吸盘与发生器!A1"/>
    <hyperlink ref="B25" location="'直线轴承)'!A1" display="'直线轴承)'!A1"/>
    <hyperlink ref="B26" location="'2x2直线导轨滑块与直线轴承'!A1" display="'2x2直线导轨滑块与直线轴承'!A1"/>
    <hyperlink ref="B27" location="'2x1直线导轨滑块与直线轴承'!A1" display="'2x1直线导轨滑块与直线轴承'!A1"/>
    <hyperlink ref="B28" location="'1x1直线导轨滑块与直线轴承'!A1" display="'1x1直线导轨滑块与直线轴承'!A1"/>
    <hyperlink ref="B30" location="步进电机选型!A1" display="步进电机选型!A1"/>
    <hyperlink ref="B32" location="硬度与强度换算!A1" display="硬度与强度换算!A1"/>
    <hyperlink ref="B33" location="管螺纹尺寸对照!A1" display="管螺纹尺寸对照!A1"/>
    <hyperlink ref="B34" location="反解渐开线inv!A1" display="反解渐开线inv!A1"/>
    <hyperlink ref="B2" location="轴的计算校核!A1" display="轴的计算校核"/>
    <hyperlink ref="B35" location="转动惯量!A1" display="刚体与机构转动惯量计算合集"/>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sheetPr codeName="Sheet11"/>
  <dimension ref="A1:K51"/>
  <sheetViews>
    <sheetView workbookViewId="0">
      <selection sqref="A1:D1"/>
    </sheetView>
  </sheetViews>
  <sheetFormatPr defaultRowHeight="15.95" customHeight="1"/>
  <cols>
    <col min="1" max="1" width="15.625" style="24" customWidth="1"/>
    <col min="2" max="2" width="12.625" style="24" customWidth="1"/>
    <col min="3" max="3" width="11.75" style="24" customWidth="1"/>
    <col min="4" max="4" width="15.625" style="24" customWidth="1"/>
    <col min="5" max="5" width="3.375" style="25" customWidth="1"/>
    <col min="6" max="6" width="17.75" style="24" customWidth="1"/>
    <col min="7" max="7" width="10.75" style="24" customWidth="1"/>
    <col min="8" max="8" width="7" style="25" customWidth="1"/>
    <col min="9" max="9" width="15.625" style="25" customWidth="1"/>
    <col min="10" max="10" width="16.125" style="25" customWidth="1"/>
    <col min="11" max="11" width="16.5" style="25" customWidth="1"/>
    <col min="12" max="13" width="15.625" style="25" customWidth="1"/>
    <col min="14" max="16384" width="9" style="25"/>
  </cols>
  <sheetData>
    <row r="1" spans="1:11" ht="21.95" customHeight="1">
      <c r="A1" s="739" t="s">
        <v>1702</v>
      </c>
      <c r="B1" s="740"/>
      <c r="C1" s="740"/>
      <c r="D1" s="740"/>
    </row>
    <row r="2" spans="1:11" ht="15.95" customHeight="1">
      <c r="A2" s="218" t="s">
        <v>13</v>
      </c>
      <c r="B2" s="233" t="s">
        <v>99</v>
      </c>
      <c r="C2" s="11" t="s">
        <v>97</v>
      </c>
      <c r="D2" s="12" t="str">
        <f>IF(B2=F12,"20",IF(B2=F13,"25",IF(B2=F14,"30",IF(B2=F15,"30",IF(B2=F16,"40",IF(B2=F17,"52",IF(B2=F18,"52",IF(B2=F19,"52","error"))))))))</f>
        <v>30</v>
      </c>
      <c r="F2" s="741" t="s">
        <v>14</v>
      </c>
      <c r="G2" s="742"/>
      <c r="I2" s="743" t="s">
        <v>267</v>
      </c>
      <c r="J2" s="743"/>
      <c r="K2" s="743"/>
    </row>
    <row r="3" spans="1:11" ht="15.95" customHeight="1">
      <c r="F3" s="5" t="s">
        <v>67</v>
      </c>
      <c r="G3" s="5" t="s">
        <v>68</v>
      </c>
      <c r="I3" s="743"/>
      <c r="J3" s="743"/>
      <c r="K3" s="743"/>
    </row>
    <row r="4" spans="1:11" ht="15.95" customHeight="1">
      <c r="A4" s="745" t="s">
        <v>95</v>
      </c>
      <c r="B4" s="745"/>
      <c r="C4" s="745"/>
      <c r="D4" s="745"/>
      <c r="F4" s="4" t="s">
        <v>1626</v>
      </c>
      <c r="G4" s="4">
        <v>0.1</v>
      </c>
      <c r="I4" s="743"/>
      <c r="J4" s="743"/>
      <c r="K4" s="743"/>
    </row>
    <row r="5" spans="1:11" ht="15.95" customHeight="1">
      <c r="A5" s="746" t="s">
        <v>1622</v>
      </c>
      <c r="B5" s="746"/>
      <c r="C5" s="746"/>
      <c r="D5" s="746"/>
      <c r="F5" s="4" t="s">
        <v>1627</v>
      </c>
      <c r="G5" s="4">
        <v>0.2</v>
      </c>
      <c r="I5" s="743"/>
      <c r="J5" s="743"/>
      <c r="K5" s="743"/>
    </row>
    <row r="6" spans="1:11" ht="15.95" customHeight="1">
      <c r="A6" s="648" t="s">
        <v>0</v>
      </c>
      <c r="B6" s="648" t="s">
        <v>1</v>
      </c>
      <c r="C6" s="648" t="s">
        <v>92</v>
      </c>
      <c r="D6" s="648" t="s">
        <v>15</v>
      </c>
      <c r="E6" s="219"/>
      <c r="F6" s="4" t="s">
        <v>9</v>
      </c>
      <c r="G6" s="4">
        <v>0.5</v>
      </c>
      <c r="I6" s="743"/>
      <c r="J6" s="743"/>
      <c r="K6" s="743"/>
    </row>
    <row r="7" spans="1:11" ht="15.95" customHeight="1">
      <c r="A7" s="648" t="s">
        <v>16</v>
      </c>
      <c r="B7" s="648" t="s">
        <v>2</v>
      </c>
      <c r="C7" s="6">
        <v>1</v>
      </c>
      <c r="D7" s="648" t="s">
        <v>17</v>
      </c>
      <c r="E7" s="219"/>
      <c r="F7" s="4" t="s">
        <v>10</v>
      </c>
      <c r="G7" s="4" t="s">
        <v>100</v>
      </c>
      <c r="I7" s="743"/>
      <c r="J7" s="743"/>
      <c r="K7" s="743"/>
    </row>
    <row r="8" spans="1:11" ht="15.95" customHeight="1">
      <c r="A8" s="648" t="s">
        <v>18</v>
      </c>
      <c r="B8" s="648" t="s">
        <v>3</v>
      </c>
      <c r="C8" s="6">
        <v>60</v>
      </c>
      <c r="D8" s="648"/>
      <c r="E8" s="219"/>
      <c r="I8" s="743"/>
      <c r="J8" s="743"/>
      <c r="K8" s="743"/>
    </row>
    <row r="9" spans="1:11" ht="15.95" customHeight="1">
      <c r="A9" s="648" t="s">
        <v>8</v>
      </c>
      <c r="B9" s="648" t="s">
        <v>4</v>
      </c>
      <c r="C9" s="6">
        <v>0.5</v>
      </c>
      <c r="D9" s="218" t="s">
        <v>98</v>
      </c>
      <c r="E9" s="220"/>
      <c r="I9" s="743"/>
      <c r="J9" s="743"/>
      <c r="K9" s="743"/>
    </row>
    <row r="10" spans="1:11" ht="15.95" customHeight="1">
      <c r="A10" s="7" t="s">
        <v>5</v>
      </c>
      <c r="B10" s="7" t="s">
        <v>6</v>
      </c>
      <c r="C10" s="10">
        <f>ABS((2*PI()*C8)/60/C9)</f>
        <v>12.566370614359171</v>
      </c>
      <c r="D10" s="748" t="s">
        <v>19</v>
      </c>
      <c r="E10" s="221"/>
      <c r="F10" s="741" t="s">
        <v>23</v>
      </c>
      <c r="G10" s="742"/>
      <c r="I10" s="743"/>
      <c r="J10" s="743"/>
      <c r="K10" s="743"/>
    </row>
    <row r="11" spans="1:11" ht="15.95" customHeight="1">
      <c r="A11" s="7" t="s">
        <v>11</v>
      </c>
      <c r="B11" s="7" t="s">
        <v>7</v>
      </c>
      <c r="C11" s="10">
        <f>C7*C10</f>
        <v>12.566370614359171</v>
      </c>
      <c r="D11" s="749"/>
      <c r="E11" s="219"/>
      <c r="F11" s="5" t="s">
        <v>69</v>
      </c>
      <c r="G11" s="5" t="s">
        <v>96</v>
      </c>
      <c r="I11" s="743"/>
      <c r="J11" s="743"/>
      <c r="K11" s="743"/>
    </row>
    <row r="12" spans="1:11" ht="15.95" customHeight="1">
      <c r="A12" s="7" t="s">
        <v>20</v>
      </c>
      <c r="B12" s="7" t="s">
        <v>21</v>
      </c>
      <c r="C12" s="2">
        <f>(16*C11/(D2*PI()))^(1/3)</f>
        <v>1.287319179474173</v>
      </c>
      <c r="D12" s="7"/>
      <c r="E12" s="219"/>
      <c r="F12" s="4" t="s">
        <v>73</v>
      </c>
      <c r="G12" s="4">
        <v>20</v>
      </c>
      <c r="I12" s="743"/>
      <c r="J12" s="743"/>
      <c r="K12" s="743"/>
    </row>
    <row r="13" spans="1:11" ht="15.95" customHeight="1">
      <c r="A13" s="221"/>
      <c r="B13" s="221"/>
      <c r="C13" s="221"/>
      <c r="D13" s="221"/>
      <c r="E13" s="219"/>
      <c r="F13" s="4">
        <v>30</v>
      </c>
      <c r="G13" s="4">
        <v>25</v>
      </c>
      <c r="H13" s="222"/>
      <c r="I13" s="743"/>
      <c r="J13" s="743"/>
      <c r="K13" s="743"/>
    </row>
    <row r="14" spans="1:11" ht="15.95" customHeight="1">
      <c r="A14" s="746" t="s">
        <v>1623</v>
      </c>
      <c r="B14" s="746"/>
      <c r="C14" s="746"/>
      <c r="D14" s="746"/>
      <c r="F14" s="4" t="s">
        <v>74</v>
      </c>
      <c r="G14" s="4">
        <v>30</v>
      </c>
      <c r="I14" s="743"/>
      <c r="J14" s="743"/>
      <c r="K14" s="743"/>
    </row>
    <row r="15" spans="1:11" ht="15.95" customHeight="1">
      <c r="A15" s="648" t="s">
        <v>0</v>
      </c>
      <c r="B15" s="648" t="s">
        <v>1</v>
      </c>
      <c r="C15" s="6" t="s">
        <v>92</v>
      </c>
      <c r="D15" s="648" t="s">
        <v>22</v>
      </c>
      <c r="F15" s="4" t="s">
        <v>55</v>
      </c>
      <c r="G15" s="4">
        <v>30</v>
      </c>
      <c r="I15" s="743"/>
      <c r="J15" s="743"/>
      <c r="K15" s="743"/>
    </row>
    <row r="16" spans="1:11" ht="15.95" customHeight="1">
      <c r="A16" s="648" t="s">
        <v>24</v>
      </c>
      <c r="B16" s="648" t="s">
        <v>25</v>
      </c>
      <c r="C16" s="200"/>
      <c r="D16" s="218"/>
      <c r="F16" s="4">
        <v>45</v>
      </c>
      <c r="G16" s="4">
        <v>40</v>
      </c>
      <c r="I16" s="743"/>
      <c r="J16" s="743"/>
      <c r="K16" s="743"/>
    </row>
    <row r="17" spans="1:11" ht="15.95" customHeight="1">
      <c r="A17" s="648" t="s">
        <v>26</v>
      </c>
      <c r="B17" s="648" t="s">
        <v>21</v>
      </c>
      <c r="C17" s="200"/>
      <c r="D17" s="218"/>
      <c r="F17" s="4" t="s">
        <v>75</v>
      </c>
      <c r="G17" s="4">
        <v>52</v>
      </c>
    </row>
    <row r="18" spans="1:11" ht="15.95" customHeight="1">
      <c r="A18" s="648" t="s">
        <v>27</v>
      </c>
      <c r="B18" s="648" t="s">
        <v>7</v>
      </c>
      <c r="C18" s="7">
        <f>C16*C17</f>
        <v>0</v>
      </c>
      <c r="D18" s="218"/>
      <c r="F18" s="4" t="s">
        <v>76</v>
      </c>
      <c r="G18" s="4">
        <v>52</v>
      </c>
      <c r="I18" s="744" t="s">
        <v>191</v>
      </c>
      <c r="J18" s="744"/>
      <c r="K18" s="744"/>
    </row>
    <row r="19" spans="1:11" ht="15.95" customHeight="1">
      <c r="A19" s="648" t="s">
        <v>20</v>
      </c>
      <c r="B19" s="648" t="s">
        <v>21</v>
      </c>
      <c r="C19" s="1">
        <f>(16*C18/(D2*PI()))^(1/3)</f>
        <v>0</v>
      </c>
      <c r="D19" s="7"/>
      <c r="F19" s="4" t="s">
        <v>56</v>
      </c>
      <c r="G19" s="4">
        <v>52</v>
      </c>
      <c r="I19" s="744"/>
      <c r="J19" s="744"/>
      <c r="K19" s="744"/>
    </row>
    <row r="20" spans="1:11" ht="15.95" customHeight="1">
      <c r="I20" s="744"/>
      <c r="J20" s="744"/>
      <c r="K20" s="744"/>
    </row>
    <row r="21" spans="1:11" ht="15.95" customHeight="1">
      <c r="A21" s="750" t="s">
        <v>1624</v>
      </c>
      <c r="B21" s="750"/>
      <c r="C21" s="750"/>
      <c r="D21" s="750"/>
      <c r="I21" s="744"/>
      <c r="J21" s="744"/>
      <c r="K21" s="744"/>
    </row>
    <row r="22" spans="1:11" ht="15.95" customHeight="1">
      <c r="A22" s="648" t="s">
        <v>88</v>
      </c>
      <c r="B22" s="648" t="s">
        <v>1</v>
      </c>
      <c r="C22" s="648" t="s">
        <v>92</v>
      </c>
      <c r="D22" s="648" t="s">
        <v>22</v>
      </c>
      <c r="F22" s="741" t="s">
        <v>57</v>
      </c>
      <c r="G22" s="742"/>
      <c r="I22" s="744"/>
      <c r="J22" s="744"/>
      <c r="K22" s="744"/>
    </row>
    <row r="23" spans="1:11" ht="15.95" customHeight="1">
      <c r="A23" s="648" t="s">
        <v>189</v>
      </c>
      <c r="B23" s="648" t="s">
        <v>83</v>
      </c>
      <c r="C23" s="200">
        <v>1</v>
      </c>
      <c r="D23" s="218" t="s">
        <v>190</v>
      </c>
      <c r="F23" s="5" t="s">
        <v>58</v>
      </c>
      <c r="G23" s="5" t="s">
        <v>70</v>
      </c>
      <c r="I23" s="744"/>
      <c r="J23" s="744"/>
      <c r="K23" s="744"/>
    </row>
    <row r="24" spans="1:11" ht="15.95" customHeight="1">
      <c r="A24" s="648" t="s">
        <v>82</v>
      </c>
      <c r="B24" s="648" t="s">
        <v>84</v>
      </c>
      <c r="C24" s="200">
        <v>60</v>
      </c>
      <c r="D24" s="218"/>
      <c r="F24" s="4" t="s">
        <v>59</v>
      </c>
      <c r="G24" s="4">
        <v>79</v>
      </c>
    </row>
    <row r="25" spans="1:11" ht="15.95" customHeight="1">
      <c r="A25" s="648" t="s">
        <v>85</v>
      </c>
      <c r="B25" s="648" t="s">
        <v>7</v>
      </c>
      <c r="C25" s="9">
        <f>9549297*C23/C24</f>
        <v>159154.95000000001</v>
      </c>
      <c r="D25" s="218"/>
      <c r="F25" s="4" t="s">
        <v>77</v>
      </c>
      <c r="G25" s="4">
        <v>79.400000000000006</v>
      </c>
    </row>
    <row r="26" spans="1:11" ht="15.95" customHeight="1">
      <c r="A26" s="7" t="s">
        <v>20</v>
      </c>
      <c r="B26" s="7" t="s">
        <v>21</v>
      </c>
      <c r="C26" s="2">
        <f>(16*C25/D2*PI())^(1/3)</f>
        <v>64.365959904974645</v>
      </c>
      <c r="D26" s="7"/>
      <c r="F26" s="4" t="s">
        <v>78</v>
      </c>
      <c r="G26" s="4">
        <v>44</v>
      </c>
    </row>
    <row r="27" spans="1:11" ht="15.95" customHeight="1">
      <c r="F27" s="4" t="s">
        <v>60</v>
      </c>
      <c r="G27" s="4" t="s">
        <v>61</v>
      </c>
    </row>
    <row r="28" spans="1:11" ht="15.95" customHeight="1">
      <c r="A28" s="745" t="s">
        <v>94</v>
      </c>
      <c r="B28" s="745"/>
      <c r="C28" s="745"/>
      <c r="D28" s="745"/>
      <c r="F28" s="4" t="s">
        <v>79</v>
      </c>
      <c r="G28" s="4">
        <v>39</v>
      </c>
    </row>
    <row r="29" spans="1:11" ht="15.95" customHeight="1">
      <c r="A29" s="746" t="s">
        <v>86</v>
      </c>
      <c r="B29" s="746"/>
      <c r="C29" s="746"/>
      <c r="D29" s="746"/>
      <c r="F29" s="4" t="s">
        <v>80</v>
      </c>
      <c r="G29" s="4">
        <v>41</v>
      </c>
    </row>
    <row r="30" spans="1:11" ht="15.95" customHeight="1">
      <c r="A30" s="648" t="s">
        <v>91</v>
      </c>
      <c r="B30" s="648" t="s">
        <v>1</v>
      </c>
      <c r="C30" s="648" t="s">
        <v>92</v>
      </c>
      <c r="D30" s="648" t="s">
        <v>22</v>
      </c>
      <c r="F30" s="4" t="s">
        <v>62</v>
      </c>
      <c r="G30" s="4">
        <v>26</v>
      </c>
    </row>
    <row r="31" spans="1:11" ht="15.95" customHeight="1">
      <c r="A31" s="218" t="s">
        <v>28</v>
      </c>
      <c r="B31" s="648" t="s">
        <v>29</v>
      </c>
      <c r="C31" s="200">
        <v>1</v>
      </c>
      <c r="D31" s="218"/>
      <c r="F31" s="4" t="s">
        <v>63</v>
      </c>
      <c r="G31" s="4" t="s">
        <v>64</v>
      </c>
    </row>
    <row r="32" spans="1:11" ht="15.95" customHeight="1">
      <c r="A32" s="218" t="s">
        <v>87</v>
      </c>
      <c r="B32" s="648" t="s">
        <v>30</v>
      </c>
      <c r="C32" s="200">
        <v>1400</v>
      </c>
      <c r="D32" s="218"/>
      <c r="F32" s="4" t="s">
        <v>65</v>
      </c>
      <c r="G32" s="4">
        <v>0.5</v>
      </c>
    </row>
    <row r="33" spans="1:7" ht="15.95" customHeight="1">
      <c r="A33" s="218" t="s">
        <v>31</v>
      </c>
      <c r="B33" s="648" t="s">
        <v>21</v>
      </c>
      <c r="C33" s="200">
        <v>10</v>
      </c>
      <c r="D33" s="218"/>
    </row>
    <row r="34" spans="1:7" ht="15.95" customHeight="1">
      <c r="A34" s="218" t="s">
        <v>32</v>
      </c>
      <c r="B34" s="648" t="s">
        <v>33</v>
      </c>
      <c r="C34" s="8">
        <f>9549*C31/C32</f>
        <v>6.8207142857142857</v>
      </c>
      <c r="D34" s="218" t="s">
        <v>34</v>
      </c>
    </row>
    <row r="35" spans="1:7" ht="15.95" customHeight="1">
      <c r="A35" s="223" t="s">
        <v>35</v>
      </c>
      <c r="B35" s="648" t="s">
        <v>81</v>
      </c>
      <c r="C35" s="2">
        <f>ABS(C34*16/(PI()*C33^3)*1000)</f>
        <v>34.737612607645914</v>
      </c>
      <c r="D35" s="224"/>
      <c r="F35" s="741" t="s">
        <v>39</v>
      </c>
      <c r="G35" s="742"/>
    </row>
    <row r="36" spans="1:7" ht="15.95" customHeight="1">
      <c r="A36" s="223" t="s">
        <v>12</v>
      </c>
      <c r="B36" s="747" t="str">
        <f>IF((C35-D2)&lt;0,"安全","不安全")</f>
        <v>不安全</v>
      </c>
      <c r="C36" s="747"/>
      <c r="D36" s="225"/>
      <c r="F36" s="5" t="s">
        <v>71</v>
      </c>
      <c r="G36" s="5" t="s">
        <v>72</v>
      </c>
    </row>
    <row r="37" spans="1:7" ht="15.95" customHeight="1">
      <c r="F37" s="4" t="s">
        <v>42</v>
      </c>
      <c r="G37" s="4" t="s">
        <v>43</v>
      </c>
    </row>
    <row r="38" spans="1:7" ht="15.95" customHeight="1">
      <c r="A38" s="746" t="s">
        <v>93</v>
      </c>
      <c r="B38" s="746"/>
      <c r="C38" s="746"/>
      <c r="D38" s="746"/>
      <c r="F38" s="4" t="s">
        <v>46</v>
      </c>
      <c r="G38" s="4" t="s">
        <v>54</v>
      </c>
    </row>
    <row r="39" spans="1:7" ht="15.95" customHeight="1">
      <c r="A39" s="648" t="s">
        <v>90</v>
      </c>
      <c r="B39" s="648" t="s">
        <v>1</v>
      </c>
      <c r="C39" s="648" t="s">
        <v>92</v>
      </c>
      <c r="D39" s="648" t="s">
        <v>22</v>
      </c>
      <c r="F39" s="4" t="s">
        <v>48</v>
      </c>
      <c r="G39" s="4" t="s">
        <v>49</v>
      </c>
    </row>
    <row r="40" spans="1:7" ht="15.95" customHeight="1">
      <c r="A40" s="218" t="s">
        <v>31</v>
      </c>
      <c r="B40" s="648" t="s">
        <v>21</v>
      </c>
      <c r="C40" s="200">
        <v>10</v>
      </c>
      <c r="D40" s="218"/>
    </row>
    <row r="41" spans="1:7" ht="15.95" customHeight="1">
      <c r="A41" s="218" t="s">
        <v>36</v>
      </c>
      <c r="B41" s="648" t="s">
        <v>33</v>
      </c>
      <c r="C41" s="200"/>
      <c r="D41" s="218" t="s">
        <v>37</v>
      </c>
    </row>
    <row r="42" spans="1:7" ht="15.95" customHeight="1">
      <c r="A42" s="223" t="s">
        <v>35</v>
      </c>
      <c r="B42" s="648" t="s">
        <v>81</v>
      </c>
      <c r="C42" s="1">
        <f>ABS(C41*16/(PI()*C40^3)*1000)</f>
        <v>0</v>
      </c>
      <c r="D42" s="224"/>
    </row>
    <row r="43" spans="1:7" ht="15.95" customHeight="1">
      <c r="A43" s="223" t="s">
        <v>12</v>
      </c>
      <c r="B43" s="747" t="str">
        <f>IF((C42-D2)&lt;0,"安全","不安全")</f>
        <v>安全</v>
      </c>
      <c r="C43" s="747"/>
      <c r="D43" s="225"/>
    </row>
    <row r="45" spans="1:7" ht="15.95" customHeight="1">
      <c r="A45" s="745" t="s">
        <v>38</v>
      </c>
      <c r="B45" s="745"/>
      <c r="C45" s="745"/>
      <c r="D45" s="745"/>
    </row>
    <row r="46" spans="1:7" ht="15.95" customHeight="1">
      <c r="A46" s="648" t="s">
        <v>89</v>
      </c>
      <c r="B46" s="648" t="s">
        <v>1</v>
      </c>
      <c r="C46" s="648" t="s">
        <v>92</v>
      </c>
      <c r="D46" s="648" t="s">
        <v>22</v>
      </c>
    </row>
    <row r="47" spans="1:7" ht="15.95" customHeight="1">
      <c r="A47" s="648" t="s">
        <v>40</v>
      </c>
      <c r="B47" s="648" t="s">
        <v>41</v>
      </c>
      <c r="C47" s="6">
        <v>1000</v>
      </c>
      <c r="D47" s="648"/>
    </row>
    <row r="48" spans="1:7" ht="15.95" customHeight="1">
      <c r="A48" s="218" t="s">
        <v>31</v>
      </c>
      <c r="B48" s="218" t="s">
        <v>21</v>
      </c>
      <c r="C48" s="6">
        <v>10</v>
      </c>
      <c r="D48" s="218"/>
    </row>
    <row r="49" spans="1:4" ht="15.95" customHeight="1">
      <c r="A49" s="218" t="s">
        <v>44</v>
      </c>
      <c r="B49" s="218" t="s">
        <v>45</v>
      </c>
      <c r="C49" s="6">
        <v>79</v>
      </c>
      <c r="D49" s="218" t="s">
        <v>66</v>
      </c>
    </row>
    <row r="50" spans="1:4" ht="15.95" customHeight="1">
      <c r="A50" s="218" t="s">
        <v>47</v>
      </c>
      <c r="B50" s="218" t="s">
        <v>53</v>
      </c>
      <c r="C50" s="8">
        <f>PI()*C48^4/32</f>
        <v>981.74770424681037</v>
      </c>
      <c r="D50" s="218"/>
    </row>
    <row r="51" spans="1:4" ht="15.95" customHeight="1">
      <c r="A51" s="225" t="s">
        <v>50</v>
      </c>
      <c r="B51" s="225" t="s">
        <v>51</v>
      </c>
      <c r="C51" s="3">
        <f>180*C47/(PI()*C49*C50)</f>
        <v>0.73874685794919692</v>
      </c>
      <c r="D51" s="225" t="s">
        <v>52</v>
      </c>
    </row>
  </sheetData>
  <sheetProtection password="828E" sheet="1" objects="1" scenarios="1"/>
  <mergeCells count="18">
    <mergeCell ref="I2:K16"/>
    <mergeCell ref="I18:K23"/>
    <mergeCell ref="A4:D4"/>
    <mergeCell ref="A28:D28"/>
    <mergeCell ref="A45:D45"/>
    <mergeCell ref="A29:D29"/>
    <mergeCell ref="A38:D38"/>
    <mergeCell ref="B36:C36"/>
    <mergeCell ref="B43:C43"/>
    <mergeCell ref="D10:D11"/>
    <mergeCell ref="A5:D5"/>
    <mergeCell ref="A14:D14"/>
    <mergeCell ref="A21:D21"/>
    <mergeCell ref="A1:D1"/>
    <mergeCell ref="F35:G35"/>
    <mergeCell ref="F2:G2"/>
    <mergeCell ref="F10:G10"/>
    <mergeCell ref="F22:G22"/>
  </mergeCells>
  <phoneticPr fontId="4" type="noConversion"/>
  <dataValidations count="2">
    <dataValidation type="list" allowBlank="1" showInputMessage="1" showErrorMessage="1" prompt="请选材料" sqref="B2">
      <formula1>$F$12:$F$19</formula1>
    </dataValidation>
    <dataValidation type="list" allowBlank="1" showInputMessage="1" showErrorMessage="1" prompt="请选时间" sqref="C9">
      <formula1>$G$4:$G$7</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sheetPr codeName="Sheet13"/>
  <dimension ref="A1:S164"/>
  <sheetViews>
    <sheetView workbookViewId="0">
      <selection activeCell="K6" sqref="K6"/>
    </sheetView>
  </sheetViews>
  <sheetFormatPr defaultRowHeight="20.100000000000001" customHeight="1"/>
  <cols>
    <col min="1" max="1" width="12.5" style="261" customWidth="1"/>
    <col min="2" max="2" width="20.5" style="261" customWidth="1"/>
    <col min="3" max="3" width="15.625" style="311"/>
    <col min="4" max="4" width="17.625" style="261" customWidth="1"/>
    <col min="5" max="5" width="5.625" style="261" customWidth="1"/>
    <col min="6" max="13" width="10.625" style="261" customWidth="1"/>
    <col min="14" max="14" width="6.125" style="261" customWidth="1"/>
    <col min="15" max="15" width="15.75" style="261" customWidth="1"/>
    <col min="16" max="16" width="16.625" style="261" customWidth="1"/>
    <col min="17" max="20" width="14.625" style="261" customWidth="1"/>
    <col min="21" max="22" width="10.625" style="261" customWidth="1"/>
    <col min="23" max="28" width="8.625" style="261" customWidth="1"/>
    <col min="29" max="16384" width="9" style="261"/>
  </cols>
  <sheetData>
    <row r="1" spans="1:19" ht="23.25" customHeight="1">
      <c r="A1" s="775" t="s">
        <v>2613</v>
      </c>
      <c r="B1" s="776"/>
      <c r="C1" s="776"/>
      <c r="D1" s="776"/>
    </row>
    <row r="2" spans="1:19" ht="18" customHeight="1">
      <c r="A2" s="752" t="s">
        <v>2682</v>
      </c>
      <c r="B2" s="752"/>
      <c r="C2" s="752"/>
      <c r="D2" s="752"/>
      <c r="F2" s="261" t="s">
        <v>2702</v>
      </c>
      <c r="S2" s="268"/>
    </row>
    <row r="3" spans="1:19" ht="20.100000000000001" customHeight="1">
      <c r="A3" s="802" t="s">
        <v>2743</v>
      </c>
      <c r="B3" s="803"/>
      <c r="C3" s="803"/>
      <c r="D3" s="804"/>
      <c r="F3" s="797" t="s">
        <v>2701</v>
      </c>
      <c r="G3" s="782" t="s">
        <v>2742</v>
      </c>
      <c r="H3" s="782"/>
      <c r="I3" s="782"/>
      <c r="S3" s="270"/>
    </row>
    <row r="4" spans="1:19" ht="20.100000000000001" customHeight="1">
      <c r="A4" s="805"/>
      <c r="B4" s="806"/>
      <c r="C4" s="806"/>
      <c r="D4" s="807"/>
      <c r="F4" s="797"/>
      <c r="G4" s="629" t="s">
        <v>2697</v>
      </c>
      <c r="H4" s="629" t="s">
        <v>2696</v>
      </c>
      <c r="I4" s="629" t="s">
        <v>2741</v>
      </c>
      <c r="S4" s="276"/>
    </row>
    <row r="5" spans="1:19" ht="20.100000000000001" customHeight="1">
      <c r="A5" s="345" t="s">
        <v>2703</v>
      </c>
      <c r="B5" s="266" t="s">
        <v>2689</v>
      </c>
      <c r="C5" s="266" t="s">
        <v>2690</v>
      </c>
      <c r="D5" s="644" t="s">
        <v>2740</v>
      </c>
      <c r="F5" s="798"/>
      <c r="G5" s="799" t="s">
        <v>2700</v>
      </c>
      <c r="H5" s="799" t="s">
        <v>2698</v>
      </c>
      <c r="I5" s="799" t="s">
        <v>2699</v>
      </c>
      <c r="S5" s="281"/>
    </row>
    <row r="6" spans="1:19" ht="20.100000000000001" customHeight="1">
      <c r="A6" s="800" t="s">
        <v>2021</v>
      </c>
      <c r="B6" s="266" t="s">
        <v>2687</v>
      </c>
      <c r="C6" s="643">
        <v>400</v>
      </c>
      <c r="D6" s="681"/>
      <c r="F6" s="798"/>
      <c r="G6" s="799"/>
      <c r="H6" s="799"/>
      <c r="I6" s="799"/>
      <c r="S6" s="281"/>
    </row>
    <row r="7" spans="1:19" ht="20.100000000000001" customHeight="1">
      <c r="A7" s="801"/>
      <c r="B7" s="266" t="s">
        <v>2688</v>
      </c>
      <c r="C7" s="643">
        <v>900</v>
      </c>
      <c r="D7" s="681"/>
      <c r="S7" s="281"/>
    </row>
    <row r="8" spans="1:19" ht="20.100000000000001" customHeight="1">
      <c r="A8" s="801"/>
      <c r="B8" s="266" t="s">
        <v>2695</v>
      </c>
      <c r="C8" s="643">
        <v>2200</v>
      </c>
      <c r="D8" s="681"/>
      <c r="F8" s="333" t="s">
        <v>2587</v>
      </c>
      <c r="S8" s="281"/>
    </row>
    <row r="9" spans="1:19" ht="20.100000000000001" customHeight="1">
      <c r="A9" s="801"/>
      <c r="B9" s="266" t="s">
        <v>2691</v>
      </c>
      <c r="C9" s="643">
        <v>314</v>
      </c>
      <c r="D9" s="681"/>
      <c r="F9" s="779" t="s">
        <v>2588</v>
      </c>
      <c r="G9" s="779"/>
      <c r="H9" s="779"/>
      <c r="I9" s="629" t="s">
        <v>2610</v>
      </c>
      <c r="J9" s="630" t="s">
        <v>2594</v>
      </c>
      <c r="M9" s="268"/>
      <c r="N9" s="268"/>
      <c r="O9" s="268"/>
      <c r="P9" s="268"/>
      <c r="Q9" s="268"/>
      <c r="R9" s="268"/>
      <c r="S9" s="281"/>
    </row>
    <row r="10" spans="1:19" ht="20.100000000000001" customHeight="1">
      <c r="A10" s="801"/>
      <c r="B10" s="266" t="s">
        <v>2692</v>
      </c>
      <c r="C10" s="643">
        <v>200</v>
      </c>
      <c r="D10" s="681"/>
      <c r="F10" s="773" t="s">
        <v>2589</v>
      </c>
      <c r="G10" s="773"/>
      <c r="H10" s="773"/>
      <c r="I10" s="271" t="s">
        <v>2597</v>
      </c>
      <c r="J10" s="376" t="s">
        <v>2593</v>
      </c>
      <c r="M10" s="270"/>
      <c r="N10" s="270"/>
      <c r="O10" s="270"/>
      <c r="P10" s="270"/>
      <c r="Q10" s="270"/>
      <c r="R10" s="270"/>
      <c r="S10" s="281"/>
    </row>
    <row r="11" spans="1:19" ht="20.100000000000001" customHeight="1">
      <c r="A11" s="801"/>
      <c r="B11" s="266" t="s">
        <v>2693</v>
      </c>
      <c r="C11" s="643">
        <v>320</v>
      </c>
      <c r="D11" s="681"/>
      <c r="F11" s="777" t="s">
        <v>2590</v>
      </c>
      <c r="G11" s="774" t="s">
        <v>2605</v>
      </c>
      <c r="H11" s="774"/>
      <c r="I11" s="629" t="s">
        <v>2596</v>
      </c>
      <c r="J11" s="630" t="s">
        <v>2615</v>
      </c>
      <c r="M11" s="276"/>
      <c r="N11" s="276"/>
      <c r="O11" s="276"/>
      <c r="P11" s="276"/>
      <c r="Q11" s="276"/>
      <c r="R11" s="276"/>
    </row>
    <row r="12" spans="1:19" ht="20.100000000000001" customHeight="1">
      <c r="A12" s="780" t="s">
        <v>2694</v>
      </c>
      <c r="B12" s="646" t="s">
        <v>2732</v>
      </c>
      <c r="C12" s="682">
        <f>SQRT(((C11*C7+C6*C9/2)/(C10+C11))^2+(C11*C8/(C10+C11))^2)</f>
        <v>1512.6153924391313</v>
      </c>
      <c r="D12" s="681"/>
      <c r="F12" s="777"/>
      <c r="G12" s="773" t="s">
        <v>2606</v>
      </c>
      <c r="H12" s="773"/>
      <c r="I12" s="271" t="s">
        <v>2598</v>
      </c>
      <c r="J12" s="376" t="s">
        <v>2611</v>
      </c>
      <c r="M12" s="281"/>
      <c r="N12" s="281"/>
      <c r="O12" s="281"/>
      <c r="P12" s="281"/>
      <c r="Q12" s="281"/>
      <c r="R12" s="281"/>
    </row>
    <row r="13" spans="1:19" ht="20.100000000000001" customHeight="1">
      <c r="A13" s="781"/>
      <c r="B13" s="646" t="s">
        <v>2733</v>
      </c>
      <c r="C13" s="682">
        <f>SQRT(((C10*C7-C6*C9/2)/(C10+C11))^2+(C10*C8/(C10+C11))^2)</f>
        <v>875.65664287608638</v>
      </c>
      <c r="D13" s="681"/>
      <c r="F13" s="777" t="s">
        <v>2608</v>
      </c>
      <c r="G13" s="774" t="s">
        <v>2607</v>
      </c>
      <c r="H13" s="774"/>
      <c r="I13" s="629" t="s">
        <v>2599</v>
      </c>
      <c r="J13" s="630" t="s">
        <v>2612</v>
      </c>
      <c r="M13" s="281"/>
      <c r="N13" s="281"/>
      <c r="O13" s="281"/>
      <c r="P13" s="281"/>
      <c r="Q13" s="281"/>
      <c r="R13" s="281"/>
    </row>
    <row r="14" spans="1:19" ht="20.100000000000001" customHeight="1">
      <c r="A14" s="783" t="s">
        <v>2735</v>
      </c>
      <c r="B14" s="784"/>
      <c r="C14" s="441">
        <f>C6/2</f>
        <v>200</v>
      </c>
      <c r="D14" s="666" t="s">
        <v>2734</v>
      </c>
      <c r="F14" s="777"/>
      <c r="G14" s="773" t="s">
        <v>2592</v>
      </c>
      <c r="H14" s="773"/>
      <c r="I14" s="271" t="s">
        <v>2600</v>
      </c>
      <c r="J14" s="376" t="s">
        <v>2595</v>
      </c>
      <c r="M14" s="281"/>
      <c r="N14" s="281"/>
      <c r="O14" s="281"/>
      <c r="P14" s="281"/>
      <c r="Q14" s="281"/>
      <c r="R14" s="281"/>
    </row>
    <row r="15" spans="1:19" ht="20.100000000000001" customHeight="1">
      <c r="A15" s="761" t="s">
        <v>2714</v>
      </c>
      <c r="B15" s="524" t="s">
        <v>2619</v>
      </c>
      <c r="C15" s="698" t="s">
        <v>2713</v>
      </c>
      <c r="D15" s="683"/>
      <c r="F15" s="777" t="s">
        <v>2609</v>
      </c>
      <c r="G15" s="778"/>
      <c r="H15" s="778"/>
      <c r="I15" s="629" t="s">
        <v>2601</v>
      </c>
      <c r="J15" s="630" t="s">
        <v>2603</v>
      </c>
      <c r="M15" s="281"/>
      <c r="N15" s="281"/>
      <c r="O15" s="281"/>
      <c r="P15" s="281"/>
      <c r="Q15" s="281"/>
      <c r="R15" s="281"/>
    </row>
    <row r="16" spans="1:19" ht="20.100000000000001" customHeight="1">
      <c r="A16" s="761"/>
      <c r="B16" s="638" t="s">
        <v>2717</v>
      </c>
      <c r="C16" s="452">
        <f>IF(C15="7000AC",0.68*C12,IF(C15="7000B",1.14*C12,"请选择轴承类型"))</f>
        <v>1028.5784668586093</v>
      </c>
      <c r="D16" s="683"/>
      <c r="F16" s="777"/>
      <c r="G16" s="773" t="s">
        <v>2591</v>
      </c>
      <c r="H16" s="773"/>
      <c r="I16" s="628" t="s">
        <v>2602</v>
      </c>
      <c r="J16" s="376" t="s">
        <v>2604</v>
      </c>
      <c r="M16" s="281"/>
      <c r="N16" s="281"/>
      <c r="O16" s="281"/>
      <c r="P16" s="281"/>
      <c r="Q16" s="281"/>
      <c r="R16" s="281"/>
    </row>
    <row r="17" spans="1:19" ht="20.100000000000001" customHeight="1">
      <c r="A17" s="761"/>
      <c r="B17" s="638" t="s">
        <v>2716</v>
      </c>
      <c r="C17" s="452">
        <f>IF(C15="7000AC",0.68*C13,IF(C15="7000B",1.14*C13,"请选择轴承类型"))</f>
        <v>595.44651715573877</v>
      </c>
      <c r="D17" s="683"/>
      <c r="M17" s="281"/>
      <c r="N17" s="281"/>
      <c r="O17" s="281"/>
      <c r="P17" s="281"/>
      <c r="Q17" s="281"/>
      <c r="R17" s="281"/>
    </row>
    <row r="18" spans="1:19" ht="20.100000000000001" customHeight="1">
      <c r="A18" s="761"/>
      <c r="B18" s="666" t="s">
        <v>2709</v>
      </c>
      <c r="C18" s="698" t="s">
        <v>2710</v>
      </c>
      <c r="D18" s="683"/>
      <c r="F18" s="261" t="s">
        <v>2620</v>
      </c>
      <c r="J18" s="281"/>
      <c r="K18" s="281"/>
      <c r="L18" s="281"/>
      <c r="M18" s="281"/>
      <c r="N18" s="281"/>
      <c r="O18" s="261" t="s">
        <v>2650</v>
      </c>
    </row>
    <row r="19" spans="1:19" ht="20.100000000000001" customHeight="1">
      <c r="A19" s="761"/>
      <c r="B19" s="638" t="str">
        <f>IF(C18="左侧轴承被压紧","左轴承轴向力Fa1(N)",IF(C18="右侧轴承被压紧","右轴承轴向力Fa2(N)","请选择被压紧轴承"))</f>
        <v>左轴承轴向力Fa1(N)</v>
      </c>
      <c r="C19" s="284">
        <f>IF(C18="左侧轴承被压紧",C6+C17,IF(C18="右侧轴承被压紧",C6+C16,"请选择被压紧轴承"))</f>
        <v>995.44651715573877</v>
      </c>
      <c r="D19" s="683"/>
      <c r="F19" s="814" t="s">
        <v>2744</v>
      </c>
      <c r="G19" s="791" t="s">
        <v>2748</v>
      </c>
      <c r="H19" s="684" t="s">
        <v>2745</v>
      </c>
      <c r="I19" s="817" t="s">
        <v>2749</v>
      </c>
      <c r="J19" s="815" t="s">
        <v>2746</v>
      </c>
      <c r="K19" s="816"/>
      <c r="L19" s="814" t="s">
        <v>2616</v>
      </c>
      <c r="M19" s="814"/>
      <c r="O19" s="345" t="s">
        <v>285</v>
      </c>
      <c r="P19" s="296" t="s">
        <v>2726</v>
      </c>
      <c r="Q19" s="345" t="s">
        <v>2645</v>
      </c>
      <c r="R19" s="685" t="s">
        <v>2641</v>
      </c>
    </row>
    <row r="20" spans="1:19" ht="20.100000000000001" customHeight="1">
      <c r="A20" s="761"/>
      <c r="B20" s="666" t="str">
        <f>IF(C18="左侧轴承被压紧","右轴承轴向力Fa2(N)",IF(C18="右侧轴承被压紧","左轴承轴向力Fa1(N)","请选择被压紧轴承"))</f>
        <v>右轴承轴向力Fa2(N)</v>
      </c>
      <c r="C20" s="284">
        <f>IF(C18="左侧轴承被压紧",C17,IF(C18="右侧轴承被压紧",C16,"请选择被压紧轴承"))</f>
        <v>595.44651715573877</v>
      </c>
      <c r="D20" s="683"/>
      <c r="F20" s="814"/>
      <c r="G20" s="793"/>
      <c r="H20" s="684" t="s">
        <v>2750</v>
      </c>
      <c r="I20" s="814"/>
      <c r="J20" s="684" t="s">
        <v>2617</v>
      </c>
      <c r="K20" s="684" t="s">
        <v>2618</v>
      </c>
      <c r="L20" s="684" t="s">
        <v>2617</v>
      </c>
      <c r="M20" s="684" t="s">
        <v>2618</v>
      </c>
      <c r="O20" s="345" t="s">
        <v>2731</v>
      </c>
      <c r="P20" s="632">
        <f>C55</f>
        <v>6.4935064935064929E-2</v>
      </c>
      <c r="Q20" s="634">
        <f>Q22+((Q21-Q22)*(P22-P20))/(P22-P21)</f>
        <v>0.26493506493506491</v>
      </c>
      <c r="R20" s="634">
        <f>IF(C57&lt;=C56,0,R22+((R21-R22)*(P22-P20))/(P22-P21))</f>
        <v>1.633766233766234</v>
      </c>
    </row>
    <row r="21" spans="1:19" ht="20.100000000000001" customHeight="1">
      <c r="A21" s="756" t="s">
        <v>2715</v>
      </c>
      <c r="B21" s="524" t="s">
        <v>2711</v>
      </c>
      <c r="C21" s="647" t="s">
        <v>2721</v>
      </c>
      <c r="D21" s="683"/>
      <c r="F21" s="791" t="s">
        <v>2747</v>
      </c>
      <c r="G21" s="791">
        <v>60000</v>
      </c>
      <c r="H21" s="686">
        <v>2.5000000000000001E-2</v>
      </c>
      <c r="I21" s="684">
        <v>0.22</v>
      </c>
      <c r="J21" s="791">
        <v>1</v>
      </c>
      <c r="K21" s="791">
        <v>0</v>
      </c>
      <c r="L21" s="791">
        <v>0.56000000000000005</v>
      </c>
      <c r="M21" s="684">
        <v>2</v>
      </c>
      <c r="O21" s="296" t="s">
        <v>2729</v>
      </c>
      <c r="P21" s="618">
        <f>IF(P20&gt;=H25,H25,IF(P20&gt;=H24,H24,IF(P20&gt;=H23,H23,IF(P20&gt;=H22,H22,H21))))</f>
        <v>0.04</v>
      </c>
      <c r="Q21" s="685">
        <f>IF(P21=H21,I21,IF(P21=H22,I22,IF(P21=H23,I23,IF(P21=H24,I24,IF(P21=H25,I25)))))</f>
        <v>0.24</v>
      </c>
      <c r="R21" s="685">
        <f>IF(P21=H21,M21,IF(P21=H22,M22,IF(P21=H23,M23,IF(P21=H24,M24,IF(P21=H25,M25)))))</f>
        <v>1.8</v>
      </c>
    </row>
    <row r="22" spans="1:19" ht="20.100000000000001" customHeight="1">
      <c r="A22" s="757"/>
      <c r="B22" s="266" t="s">
        <v>2642</v>
      </c>
      <c r="C22" s="699">
        <v>11700</v>
      </c>
      <c r="D22" s="683"/>
      <c r="F22" s="792"/>
      <c r="G22" s="792"/>
      <c r="H22" s="686">
        <v>0.04</v>
      </c>
      <c r="I22" s="684">
        <v>0.24</v>
      </c>
      <c r="J22" s="792"/>
      <c r="K22" s="792"/>
      <c r="L22" s="792"/>
      <c r="M22" s="684">
        <v>1.8</v>
      </c>
      <c r="O22" s="296" t="s">
        <v>2730</v>
      </c>
      <c r="P22" s="618">
        <f>IF(P20&lt;=H22,H22,IF(P20&lt;=H23,H23,IF(P20&lt;=H24,H24,IF(P20&lt;=H25,H25,H26))))</f>
        <v>7.0000000000000007E-2</v>
      </c>
      <c r="Q22" s="685">
        <f>IF(P22=H22,I22,IF(P22=H23,I23,IF(P22=H24,I24,IF(P22=H25,I25,IF(P22=H26,I26)))))</f>
        <v>0.27</v>
      </c>
      <c r="R22" s="685">
        <f>IF(P22=H22,M22,IF(P22=H23,M23,IF(P22=H24,M24,IF(P22=H25,M25,IF(P22=H26,M26)))))</f>
        <v>1.6</v>
      </c>
    </row>
    <row r="23" spans="1:19" ht="20.100000000000001" customHeight="1">
      <c r="A23" s="757"/>
      <c r="B23" s="266" t="s">
        <v>2736</v>
      </c>
      <c r="C23" s="700">
        <v>0.45</v>
      </c>
      <c r="D23" s="687" t="s">
        <v>2739</v>
      </c>
      <c r="F23" s="792"/>
      <c r="G23" s="792"/>
      <c r="H23" s="686">
        <v>7.0000000000000007E-2</v>
      </c>
      <c r="I23" s="684">
        <v>0.27</v>
      </c>
      <c r="J23" s="792"/>
      <c r="K23" s="792"/>
      <c r="L23" s="792"/>
      <c r="M23" s="684">
        <v>1.6</v>
      </c>
    </row>
    <row r="24" spans="1:19" ht="20.100000000000001" customHeight="1">
      <c r="A24" s="757"/>
      <c r="B24" s="666" t="s">
        <v>2737</v>
      </c>
      <c r="C24" s="287">
        <f>C23*C12</f>
        <v>680.67692659760905</v>
      </c>
      <c r="D24" s="507"/>
      <c r="F24" s="792"/>
      <c r="G24" s="792"/>
      <c r="H24" s="686">
        <v>0.13</v>
      </c>
      <c r="I24" s="684">
        <v>0.31</v>
      </c>
      <c r="J24" s="792"/>
      <c r="K24" s="792"/>
      <c r="L24" s="792"/>
      <c r="M24" s="684">
        <v>1.4</v>
      </c>
      <c r="O24" s="261" t="s">
        <v>2679</v>
      </c>
    </row>
    <row r="25" spans="1:19" ht="20.100000000000001" customHeight="1">
      <c r="A25" s="757"/>
      <c r="B25" s="666" t="s">
        <v>2738</v>
      </c>
      <c r="C25" s="287">
        <f>C23*C13</f>
        <v>394.04548929423891</v>
      </c>
      <c r="D25" s="507"/>
      <c r="F25" s="792"/>
      <c r="G25" s="792"/>
      <c r="H25" s="686">
        <v>0.25</v>
      </c>
      <c r="I25" s="684">
        <v>0.37</v>
      </c>
      <c r="J25" s="792"/>
      <c r="K25" s="792"/>
      <c r="L25" s="792"/>
      <c r="M25" s="684">
        <v>1.2</v>
      </c>
      <c r="O25" s="345" t="s">
        <v>285</v>
      </c>
      <c r="P25" s="296" t="s">
        <v>2726</v>
      </c>
      <c r="Q25" s="345" t="s">
        <v>2645</v>
      </c>
      <c r="R25" s="685" t="s">
        <v>2641</v>
      </c>
    </row>
    <row r="26" spans="1:19" ht="20.100000000000001" customHeight="1">
      <c r="A26" s="757"/>
      <c r="B26" s="666" t="s">
        <v>2709</v>
      </c>
      <c r="C26" s="698" t="s">
        <v>2712</v>
      </c>
      <c r="D26" s="683"/>
      <c r="F26" s="793"/>
      <c r="G26" s="793"/>
      <c r="H26" s="686">
        <v>0.5</v>
      </c>
      <c r="I26" s="684">
        <v>0.44</v>
      </c>
      <c r="J26" s="793"/>
      <c r="K26" s="793"/>
      <c r="L26" s="793"/>
      <c r="M26" s="684">
        <v>1</v>
      </c>
      <c r="O26" s="345" t="s">
        <v>2731</v>
      </c>
      <c r="P26" s="632">
        <f>C83</f>
        <v>4.1666666666666664E-2</v>
      </c>
      <c r="Q26" s="634">
        <f>Q28+((Q27-Q28)*(P28-P26))/(P28-P27)</f>
        <v>0.4131034482758621</v>
      </c>
      <c r="R26" s="634">
        <f>IF(C63&lt;=C62,0,R28+((R27-R28)*(P28-P26))/(P28-P27))</f>
        <v>1.3563218390804597</v>
      </c>
    </row>
    <row r="27" spans="1:19" ht="20.100000000000001" customHeight="1">
      <c r="A27" s="757"/>
      <c r="B27" s="638" t="str">
        <f>IF(C26="左侧轴承被压紧","左轴承轴向力Fa1(N)",IF(C26="右侧轴承被压紧","右轴承轴向力Fa2(N)","请选择被压紧轴承"))</f>
        <v>右轴承轴向力Fa2(N)</v>
      </c>
      <c r="C27" s="379">
        <f>IF(C26="左侧轴承被压紧",C6+C25,IF(C26="右侧轴承被压紧",C6+C24,"请选择被压紧轴承"))</f>
        <v>1080.6769265976091</v>
      </c>
      <c r="D27" s="507"/>
      <c r="F27" s="791" t="s">
        <v>2751</v>
      </c>
      <c r="G27" s="794" t="s">
        <v>2752</v>
      </c>
      <c r="H27" s="684">
        <v>1.4999999999999999E-2</v>
      </c>
      <c r="I27" s="684">
        <v>0.38</v>
      </c>
      <c r="J27" s="688">
        <v>1</v>
      </c>
      <c r="K27" s="688">
        <v>0</v>
      </c>
      <c r="L27" s="688">
        <v>0.44</v>
      </c>
      <c r="M27" s="684">
        <v>1.47</v>
      </c>
      <c r="O27" s="296" t="s">
        <v>2729</v>
      </c>
      <c r="P27" s="618">
        <f>IF(P26&gt;=H34,H34,IF(P26&gt;=H33,H33,IF(P26&gt;=H32,H32,IF(P26&gt;=H31,H31,IF(P26&gt;=H30,H30,IF(P26&gt;=H29,H29,IF(P26&gt;=H28,H28,H27)))))))</f>
        <v>2.9000000000000001E-2</v>
      </c>
      <c r="Q27" s="685">
        <f>IF(P27=H27,I27,IF(P27=H28,I28,IF(P27=H29,I29,IF(P27=H30,I30,IF(P27=H31,I31,IF(P27=H32,I32,IF(P27=H33,I33,IF(P27=H34,I34))))))))</f>
        <v>0.4</v>
      </c>
      <c r="R27" s="685">
        <f>IF(P27=H27,M27,IF(P27=H28,M28,IF(P27=H29,M29,IF(P27=H30,M30,IF(P27=H31,M31,IF(P27=H32,M32,IF(P27=H33,M33,IF(P27=H34,M34))))))))</f>
        <v>1.4</v>
      </c>
    </row>
    <row r="28" spans="1:19" ht="20.100000000000001" customHeight="1">
      <c r="A28" s="757"/>
      <c r="B28" s="666" t="str">
        <f>IF(C26="左侧轴承被压紧","右轴承轴向力Fa2(N)",IF(C26="右侧轴承被压紧","左轴承轴向力Fa1(N)","请选择被压紧轴承"))</f>
        <v>左轴承轴向力Fa1(N)</v>
      </c>
      <c r="C28" s="379">
        <f>IF(C26="左侧轴承被压紧",C25,IF(C26="右侧轴承被压紧",C24,"请选择被压紧轴承"))</f>
        <v>680.67692659760905</v>
      </c>
      <c r="D28" s="507"/>
      <c r="F28" s="792"/>
      <c r="G28" s="795"/>
      <c r="H28" s="684">
        <v>2.9000000000000001E-2</v>
      </c>
      <c r="I28" s="684">
        <v>0.4</v>
      </c>
      <c r="J28" s="689"/>
      <c r="K28" s="689"/>
      <c r="L28" s="689"/>
      <c r="M28" s="684">
        <v>1.4</v>
      </c>
      <c r="O28" s="296" t="s">
        <v>2730</v>
      </c>
      <c r="P28" s="618">
        <f>IF(P26&lt;=H28,H28,IF(P26&lt;=H29,H29,IF(P26&lt;=H30,H30,IF(P26&lt;=H31,H31,IF(P26&lt;=H32,H32,IF(P26&lt;=H307,H33,IF(P26&lt;=H34,H34,H35)))))))</f>
        <v>5.8000000000000003E-2</v>
      </c>
      <c r="Q28" s="685">
        <f>IF(P28=H28,I28,IF(P28=H29,I29,IF(P28=H30,I30,IF(P28=H31,I31,IF(P28=H32,I32,IF(P28=H33,I33,IF(P28=H34,I34,IF(P28=H35,I35))))))))</f>
        <v>0.43</v>
      </c>
      <c r="R28" s="685">
        <f>IF(P28=H28,M28,IF(P28=H29,M29,IF(P28=H30,M30,IF(P28=H31,M31,IF(P28=H32,M32,IF(P28=H33,M33,IF(P28=H34,M34,IF(P28=H35,M35))))))))</f>
        <v>1.3</v>
      </c>
    </row>
    <row r="29" spans="1:19" ht="20.100000000000001" customHeight="1">
      <c r="A29" s="757"/>
      <c r="B29" s="666" t="str">
        <f>IF(C26="左侧轴承被压紧","左轴承Fa1/C0",IF(C26="右侧轴承被压紧","右轴承Fa2/C0","请选择被压紧轴承"))</f>
        <v>右轴承Fa2/C0</v>
      </c>
      <c r="C29" s="542">
        <f>C27/C22</f>
        <v>9.2365549281846926E-2</v>
      </c>
      <c r="D29" s="526"/>
      <c r="F29" s="792"/>
      <c r="G29" s="795"/>
      <c r="H29" s="684">
        <v>5.8000000000000003E-2</v>
      </c>
      <c r="I29" s="684">
        <v>0.43</v>
      </c>
      <c r="J29" s="689"/>
      <c r="K29" s="689"/>
      <c r="L29" s="689"/>
      <c r="M29" s="684">
        <v>1.3</v>
      </c>
    </row>
    <row r="30" spans="1:19" ht="20.100000000000001" customHeight="1">
      <c r="A30" s="757"/>
      <c r="B30" s="666" t="str">
        <f>IF(C26="右侧轴承被压紧","左轴承Fa1/C0",IF(C26="左侧轴承被压紧","右轴承Fa2/C0","请选择被压紧轴承"))</f>
        <v>左轴承Fa1/C0</v>
      </c>
      <c r="C30" s="542">
        <f>C28/C22</f>
        <v>5.8177515093812741E-2</v>
      </c>
      <c r="D30" s="683"/>
      <c r="F30" s="792"/>
      <c r="G30" s="795"/>
      <c r="H30" s="684">
        <v>8.6999999999999994E-2</v>
      </c>
      <c r="I30" s="684">
        <v>0.46</v>
      </c>
      <c r="J30" s="689"/>
      <c r="K30" s="689"/>
      <c r="L30" s="689"/>
      <c r="M30" s="684">
        <v>1.23</v>
      </c>
      <c r="O30" s="261" t="s">
        <v>2722</v>
      </c>
    </row>
    <row r="31" spans="1:19" ht="20.100000000000001" customHeight="1">
      <c r="A31" s="757"/>
      <c r="B31" s="638" t="str">
        <f>IF(C26="左侧轴承被压紧","左轴承e1",IF(C26="右侧轴承被压紧","右轴承e2","请选择被压紧轴承"))</f>
        <v>右轴承e2</v>
      </c>
      <c r="C31" s="542">
        <f>Q32</f>
        <v>0.46162592402480213</v>
      </c>
      <c r="D31" s="812" t="str">
        <f>"e平均值="&amp;ROUND(0.5*(C31+C32),4)</f>
        <v>e平均值=0.4459</v>
      </c>
      <c r="F31" s="792"/>
      <c r="G31" s="795"/>
      <c r="H31" s="686">
        <v>0.12</v>
      </c>
      <c r="I31" s="684">
        <v>0.47</v>
      </c>
      <c r="J31" s="689"/>
      <c r="K31" s="689"/>
      <c r="L31" s="689"/>
      <c r="M31" s="684">
        <v>1.19</v>
      </c>
      <c r="O31" s="345" t="s">
        <v>285</v>
      </c>
      <c r="P31" s="296" t="s">
        <v>2727</v>
      </c>
      <c r="Q31" s="345" t="s">
        <v>2724</v>
      </c>
      <c r="R31" s="685" t="s">
        <v>2641</v>
      </c>
      <c r="S31" s="808" t="s">
        <v>2723</v>
      </c>
    </row>
    <row r="32" spans="1:19" ht="20.100000000000001" customHeight="1">
      <c r="A32" s="757"/>
      <c r="B32" s="638" t="str">
        <f>IF(C26="左侧轴承被压紧","右轴承e2",IF(C26="右侧轴承被压紧","左轴承e1","请选择被压紧轴承"))</f>
        <v>左轴承e1</v>
      </c>
      <c r="C32" s="542">
        <f>Q36</f>
        <v>0.43018363630394418</v>
      </c>
      <c r="D32" s="813"/>
      <c r="F32" s="792"/>
      <c r="G32" s="795"/>
      <c r="H32" s="686">
        <v>0.17</v>
      </c>
      <c r="I32" s="684">
        <v>0.5</v>
      </c>
      <c r="J32" s="689"/>
      <c r="K32" s="689"/>
      <c r="L32" s="689"/>
      <c r="M32" s="684">
        <v>1.1200000000000001</v>
      </c>
      <c r="O32" s="345" t="s">
        <v>2731</v>
      </c>
      <c r="P32" s="632">
        <f>C29</f>
        <v>9.2365549281846926E-2</v>
      </c>
      <c r="Q32" s="634">
        <f>Q34+((Q33-Q34)*(P34-P32))/(P34-P33)</f>
        <v>0.46162592402480213</v>
      </c>
      <c r="R32" s="634">
        <f>IF(C69&lt;=C68,0,R34+((R33-R34)*(P34-P32))/(P34-P33))</f>
        <v>0</v>
      </c>
      <c r="S32" s="808"/>
    </row>
    <row r="33" spans="1:19" ht="20.100000000000001" customHeight="1">
      <c r="A33" s="757"/>
      <c r="B33" s="638" t="str">
        <f>IF(C26="左侧轴承被压紧","左轴承派生轴向力Fd1(N)",IF(C26="右侧轴承被压紧","右轴承派生轴向力Fd2(N)","请选择被压紧轴承"))</f>
        <v>右轴承派生轴向力Fd2(N)</v>
      </c>
      <c r="C33" s="287">
        <f>IF(C26="左侧轴承被压紧",C31*C12,IF(C26="右侧轴承被压紧",C31*C13,"请选择被压紧轴承"))</f>
        <v>404.22580689612954</v>
      </c>
      <c r="D33" s="683"/>
      <c r="F33" s="792"/>
      <c r="G33" s="795"/>
      <c r="H33" s="686">
        <v>0.28999999999999998</v>
      </c>
      <c r="I33" s="684">
        <v>0.55000000000000004</v>
      </c>
      <c r="J33" s="689"/>
      <c r="K33" s="689"/>
      <c r="L33" s="689"/>
      <c r="M33" s="684">
        <v>1.02</v>
      </c>
      <c r="O33" s="296" t="s">
        <v>2729</v>
      </c>
      <c r="P33" s="618">
        <f>IF(P32&gt;=H34,H34,IF(P32&gt;=H33,H33,IF(P32&gt;=H32,H32,IF(P32&gt;=H31,H31,IF(P32&gt;=H30,H30,IF(P32&gt;=H29,H29,IF(P32&gt;=H28,H28,H27)))))))</f>
        <v>8.6999999999999994E-2</v>
      </c>
      <c r="Q33" s="685">
        <f>IF(P33=H27,I27,IF(P33=H28,I28,IF(P33=H29,I29,IF(P33=H30,I30,IF(P33=H31,I31,IF(P33&lt;=H32,I32,IF(P33=H33,I33,IF(P33=H34,I34))))))))</f>
        <v>0.46</v>
      </c>
      <c r="R33" s="685">
        <f>IF(P33=H27,M27,IF(P33=H28,M28,IF(P33=H29,M29,IF(P33=H30,M30,IF(P33=H31,M31,IF(P33=H32,M32,IF(P33=H33,M33,IF(P33=H34,M34))))))))</f>
        <v>1.23</v>
      </c>
      <c r="S33" s="808"/>
    </row>
    <row r="34" spans="1:19" ht="20.100000000000001" customHeight="1">
      <c r="A34" s="757"/>
      <c r="B34" s="638" t="str">
        <f>IF(C26="左侧轴承被压紧","右轴承派生轴向力Fd2(N)",IF(C26="右侧轴承被压紧","左轴承派生轴向力Fd1(N)","请选择被压紧轴承"))</f>
        <v>左轴承派生轴向力Fd1(N)</v>
      </c>
      <c r="C34" s="287">
        <f>IF(C26="左侧轴承被压紧",C31*C13,IF(C26="右侧轴承被压紧",C31*C12,"请选择被压紧轴承"))</f>
        <v>698.26247822885261</v>
      </c>
      <c r="D34" s="683"/>
      <c r="F34" s="792"/>
      <c r="G34" s="795"/>
      <c r="H34" s="686">
        <v>0.44</v>
      </c>
      <c r="I34" s="684">
        <v>0.56000000000000005</v>
      </c>
      <c r="J34" s="689"/>
      <c r="K34" s="689"/>
      <c r="L34" s="689"/>
      <c r="M34" s="690">
        <v>1</v>
      </c>
      <c r="O34" s="296" t="s">
        <v>2730</v>
      </c>
      <c r="P34" s="618">
        <f>IF(P32&lt;=H28,H28,IF(P32&lt;=H29,H29,IF(P32&lt;=H30,H30,IF(P32&lt;=H31,H31,IF(P32&lt;=H32,H32,IF(P32&lt;=H307,H33,IF(P32&lt;=H34,H34,H35)))))))</f>
        <v>0.12</v>
      </c>
      <c r="Q34" s="685">
        <f>IF(P34=H28,I28,IF(P34=H29,I29,IF(P34=H30,I30,IF(P34=H31,I31,IF(P34=H32,I32,IF(P34=H33,I33,IF(P34=H34,I34,IF(P34=H35,I35))))))))</f>
        <v>0.47</v>
      </c>
      <c r="R34" s="685">
        <f>IF(P34=H28,M28,IF(P34=H29,M29,IF(P34=H30,M30,IF(P34=H31,M31,IF(P34=H32,M32,IF(P34=H33,M33,IF(P34=H34,M34,IF(P34=H35,M35))))))))</f>
        <v>1.19</v>
      </c>
      <c r="S34" s="808"/>
    </row>
    <row r="35" spans="1:19" ht="20.100000000000001" customHeight="1">
      <c r="A35" s="757"/>
      <c r="B35" s="645" t="str">
        <f>IF(C26="左侧轴承被压紧","左轴承轴向力Fa1(N)",IF(C26="右侧轴承被压紧","右轴承轴向力Fa2(N)","请选择被压紧轴承"))</f>
        <v>右轴承轴向力Fa2(N)</v>
      </c>
      <c r="C35" s="284">
        <f>C6+C34</f>
        <v>1098.2624782288526</v>
      </c>
      <c r="D35" s="507"/>
      <c r="F35" s="792"/>
      <c r="G35" s="796"/>
      <c r="H35" s="686">
        <v>0.57999999999999996</v>
      </c>
      <c r="I35" s="684">
        <v>0.56000000000000005</v>
      </c>
      <c r="J35" s="691"/>
      <c r="K35" s="691"/>
      <c r="L35" s="691"/>
      <c r="M35" s="690">
        <v>1</v>
      </c>
      <c r="O35" s="345" t="s">
        <v>285</v>
      </c>
      <c r="P35" s="296" t="s">
        <v>2728</v>
      </c>
      <c r="Q35" s="345" t="s">
        <v>2725</v>
      </c>
      <c r="R35" s="685" t="s">
        <v>2641</v>
      </c>
      <c r="S35" s="808"/>
    </row>
    <row r="36" spans="1:19" ht="20.100000000000001" customHeight="1">
      <c r="A36" s="768"/>
      <c r="B36" s="645" t="str">
        <f>IF(C26="左侧轴承被压紧","右轴承轴向力Fa2(N)",IF(C26="右侧轴承被压紧","左轴承轴向力Fa1(N)","请选择被压紧轴承"))</f>
        <v>左轴承轴向力Fa1(N)</v>
      </c>
      <c r="C36" s="284">
        <f>C34</f>
        <v>698.26247822885261</v>
      </c>
      <c r="D36" s="507"/>
      <c r="F36" s="792"/>
      <c r="G36" s="692" t="s">
        <v>2753</v>
      </c>
      <c r="H36" s="684" t="s">
        <v>747</v>
      </c>
      <c r="I36" s="684">
        <v>0.68</v>
      </c>
      <c r="J36" s="684">
        <v>1</v>
      </c>
      <c r="K36" s="684">
        <v>0</v>
      </c>
      <c r="L36" s="684">
        <v>0.41</v>
      </c>
      <c r="M36" s="684">
        <v>0.87</v>
      </c>
      <c r="O36" s="345" t="s">
        <v>2731</v>
      </c>
      <c r="P36" s="632">
        <f>C30</f>
        <v>5.8177515093812741E-2</v>
      </c>
      <c r="Q36" s="634">
        <f>Q38+((Q37-Q38)*(P38-P36))/(P38-P37)</f>
        <v>0.43018363630394418</v>
      </c>
      <c r="R36" s="634">
        <f>IF(C73&lt;=C72,0,R38+((R37-R38)*(P38-P36))/(P38-P37))</f>
        <v>0</v>
      </c>
      <c r="S36" s="808"/>
    </row>
    <row r="37" spans="1:19" ht="20.100000000000001" customHeight="1">
      <c r="A37" s="761" t="s">
        <v>2706</v>
      </c>
      <c r="B37" s="345" t="s">
        <v>2711</v>
      </c>
      <c r="C37" s="385">
        <v>32206</v>
      </c>
      <c r="D37" s="653"/>
      <c r="F37" s="793"/>
      <c r="G37" s="693" t="s">
        <v>2754</v>
      </c>
      <c r="H37" s="694" t="s">
        <v>747</v>
      </c>
      <c r="I37" s="684">
        <v>1.1399999999999999</v>
      </c>
      <c r="J37" s="684">
        <v>1</v>
      </c>
      <c r="K37" s="684">
        <v>0</v>
      </c>
      <c r="L37" s="684">
        <v>0.35</v>
      </c>
      <c r="M37" s="684">
        <v>0.56999999999999995</v>
      </c>
      <c r="O37" s="296" t="s">
        <v>2729</v>
      </c>
      <c r="P37" s="618">
        <f>IF(P36&gt;=H34,H34,IF(P36&gt;=H33,H33,IF(P36&gt;=H32,H32,IF(P36&gt;=H31,H31,IF(P36&gt;=H30,H30,IF(P36&gt;=H29,H29,IF(P36&gt;=H28,H28,H27)))))))</f>
        <v>5.8000000000000003E-2</v>
      </c>
      <c r="Q37" s="685">
        <f>IF(P37&lt;=H28,I28,IF(P37&lt;=H29,I29,IF(P37&lt;=H30,I30,IF(P37&lt;=H31,I31,IF(P37&lt;=H32,I32,IF(P37&lt;=H33,I33,IF(P37&lt;=H34,I34,IF(P37&lt;=H35,I35))))))))</f>
        <v>0.43</v>
      </c>
      <c r="R37" s="685">
        <f>IF(P37=H27,M27,IF(P37=H28,M28,IF(P37=H29,M29,IF(P37=H30,M30,IF(P37=H31,M31,IF(P37=H32,M32,IF(P37=H33,M33,IF(P37=H34,M34))))))))</f>
        <v>1.3</v>
      </c>
      <c r="S37" s="808"/>
    </row>
    <row r="38" spans="1:19" ht="20.100000000000001" customHeight="1">
      <c r="A38" s="761"/>
      <c r="B38" s="266" t="s">
        <v>2705</v>
      </c>
      <c r="C38" s="699">
        <v>1.6</v>
      </c>
      <c r="D38" s="653"/>
      <c r="F38" s="695" t="s">
        <v>2755</v>
      </c>
      <c r="G38" s="684">
        <v>30000</v>
      </c>
      <c r="H38" s="684" t="s">
        <v>747</v>
      </c>
      <c r="I38" s="684" t="s">
        <v>2756</v>
      </c>
      <c r="J38" s="684">
        <v>1</v>
      </c>
      <c r="K38" s="684">
        <v>0</v>
      </c>
      <c r="L38" s="684">
        <v>0.4</v>
      </c>
      <c r="M38" s="684" t="s">
        <v>2757</v>
      </c>
      <c r="O38" s="296" t="s">
        <v>2730</v>
      </c>
      <c r="P38" s="618">
        <f>IF(P36&lt;=H28,H28,IF(P36&lt;=H29,H29,IF(P36&lt;=H30,H30,IF(P36&lt;=H31,H31,IF(P36&lt;=H32,H32,IF(P36&lt;=H307,H33,IF(P36&lt;=H34,H34,H35)))))))</f>
        <v>8.6999999999999994E-2</v>
      </c>
      <c r="Q38" s="685">
        <f>IF(P38=H28,I28,IF(P38=H29,I29,IF(P38=H30,I30,IF(P38=H31,I31,IF(P38=H32,I32,IF(P38=H33,I33,IF(P38=H34,I34,IF(P38=H35,I35))))))))</f>
        <v>0.46</v>
      </c>
      <c r="R38" s="685">
        <f>IF(P38=H28,M28,IF(P38=H29,M29,IF(P38=H30,M30,IF(P38=H31,M31,IF(P38=H32,M32,IF(P38=H33,M33,IF(P38=H34,M34,IF(P38=H35,M35))))))))</f>
        <v>1.23</v>
      </c>
      <c r="S38" s="808"/>
    </row>
    <row r="39" spans="1:19" ht="20.100000000000001" customHeight="1">
      <c r="A39" s="761"/>
      <c r="B39" s="266" t="s">
        <v>2707</v>
      </c>
      <c r="C39" s="287">
        <f>C12/2/C38</f>
        <v>472.6923101372285</v>
      </c>
      <c r="D39" s="653"/>
      <c r="F39" s="695" t="s">
        <v>2758</v>
      </c>
      <c r="G39" s="684">
        <v>20000</v>
      </c>
      <c r="H39" s="684" t="s">
        <v>747</v>
      </c>
      <c r="I39" s="684" t="s">
        <v>2756</v>
      </c>
      <c r="J39" s="684" t="s">
        <v>747</v>
      </c>
      <c r="K39" s="684">
        <v>1</v>
      </c>
      <c r="L39" s="684" t="s">
        <v>2757</v>
      </c>
      <c r="M39" s="684">
        <v>0.65</v>
      </c>
    </row>
    <row r="40" spans="1:19" ht="20.100000000000001" customHeight="1">
      <c r="A40" s="761"/>
      <c r="B40" s="266" t="s">
        <v>2708</v>
      </c>
      <c r="C40" s="287">
        <f>C13/2/C38</f>
        <v>273.64270089877698</v>
      </c>
      <c r="D40" s="653"/>
      <c r="F40" s="695" t="s">
        <v>2759</v>
      </c>
      <c r="G40" s="684">
        <v>10000</v>
      </c>
      <c r="H40" s="684" t="s">
        <v>747</v>
      </c>
      <c r="I40" s="684" t="s">
        <v>2756</v>
      </c>
      <c r="J40" s="684" t="s">
        <v>747</v>
      </c>
      <c r="K40" s="684">
        <v>1</v>
      </c>
      <c r="L40" s="684" t="s">
        <v>2757</v>
      </c>
      <c r="M40" s="684">
        <v>0.67</v>
      </c>
    </row>
    <row r="41" spans="1:19" ht="20.100000000000001" customHeight="1">
      <c r="A41" s="761"/>
      <c r="B41" s="666" t="s">
        <v>2709</v>
      </c>
      <c r="C41" s="369" t="s">
        <v>2710</v>
      </c>
      <c r="D41" s="696"/>
    </row>
    <row r="42" spans="1:19" ht="20.100000000000001" customHeight="1">
      <c r="A42" s="761"/>
      <c r="B42" s="646" t="str">
        <f>IF(C41="左侧轴承被压紧","左轴承轴向力Fa1(N)",IF(C41="右侧轴承被压紧","右轴承轴向力Fa2(N)","请选择被压紧轴承"))</f>
        <v>左轴承轴向力Fa1(N)</v>
      </c>
      <c r="C42" s="284">
        <f>IF(C41="左侧轴承被压紧",C6+C40,IF(C41="右侧轴承被压紧",C6+C39,"请选择被压紧轴承"))</f>
        <v>673.64270089877698</v>
      </c>
      <c r="D42" s="507"/>
      <c r="F42" s="261" t="s">
        <v>2653</v>
      </c>
    </row>
    <row r="43" spans="1:19" ht="20.100000000000001" customHeight="1">
      <c r="A43" s="761"/>
      <c r="B43" s="697" t="str">
        <f>IF(C41="左侧轴承被压紧","右轴承轴向力Fa2(N)",IF(C41="右侧轴承被压紧","左轴承轴向力Fa1(N)","请选择被压紧轴承"))</f>
        <v>右轴承轴向力Fa2(N)</v>
      </c>
      <c r="C43" s="284">
        <f>IF(C41="左侧轴承被压紧",C40,IF(C41="右侧轴承被压紧",C39,"请选择被压紧轴承"))</f>
        <v>273.64270089877698</v>
      </c>
      <c r="D43" s="507"/>
      <c r="F43" s="774" t="s">
        <v>344</v>
      </c>
      <c r="G43" s="774"/>
      <c r="H43" s="629" t="s">
        <v>2626</v>
      </c>
      <c r="I43" s="774" t="s">
        <v>2632</v>
      </c>
      <c r="J43" s="774"/>
      <c r="K43" s="774"/>
      <c r="L43" s="774"/>
      <c r="M43" s="774"/>
      <c r="N43" s="774"/>
    </row>
    <row r="44" spans="1:19" ht="20.100000000000001" customHeight="1">
      <c r="A44" s="809" t="s">
        <v>2763</v>
      </c>
      <c r="B44" s="810"/>
      <c r="C44" s="810"/>
      <c r="D44" s="811"/>
      <c r="F44" s="773" t="s">
        <v>2633</v>
      </c>
      <c r="G44" s="773"/>
      <c r="H44" s="271" t="s">
        <v>1577</v>
      </c>
      <c r="I44" s="773" t="s">
        <v>2629</v>
      </c>
      <c r="J44" s="773"/>
      <c r="K44" s="773"/>
      <c r="L44" s="773"/>
      <c r="M44" s="773"/>
      <c r="N44" s="773"/>
    </row>
    <row r="45" spans="1:19" ht="20.100000000000001" customHeight="1">
      <c r="A45" s="752" t="s">
        <v>2683</v>
      </c>
      <c r="B45" s="752"/>
      <c r="C45" s="752"/>
      <c r="D45" s="752"/>
      <c r="F45" s="774" t="s">
        <v>2634</v>
      </c>
      <c r="G45" s="774"/>
      <c r="H45" s="629" t="s">
        <v>2627</v>
      </c>
      <c r="I45" s="774" t="s">
        <v>2630</v>
      </c>
      <c r="J45" s="774"/>
      <c r="K45" s="774"/>
      <c r="L45" s="774"/>
      <c r="M45" s="774"/>
      <c r="N45" s="774"/>
    </row>
    <row r="46" spans="1:19" ht="20.100000000000001" customHeight="1">
      <c r="A46" s="266" t="s">
        <v>753</v>
      </c>
      <c r="B46" s="266" t="s">
        <v>2684</v>
      </c>
      <c r="C46" s="653" t="s">
        <v>2685</v>
      </c>
      <c r="D46" s="266" t="s">
        <v>2686</v>
      </c>
      <c r="F46" s="773" t="s">
        <v>2635</v>
      </c>
      <c r="G46" s="773"/>
      <c r="H46" s="271" t="s">
        <v>2628</v>
      </c>
      <c r="I46" s="773" t="s">
        <v>2631</v>
      </c>
      <c r="J46" s="773"/>
      <c r="K46" s="773"/>
      <c r="L46" s="773"/>
      <c r="M46" s="773"/>
      <c r="N46" s="773"/>
    </row>
    <row r="47" spans="1:19" ht="20.100000000000001" customHeight="1">
      <c r="A47" s="753" t="s">
        <v>2021</v>
      </c>
      <c r="B47" s="266" t="s">
        <v>2583</v>
      </c>
      <c r="C47" s="701">
        <v>5500</v>
      </c>
      <c r="D47" s="597"/>
      <c r="F47" s="261" t="s">
        <v>2654</v>
      </c>
      <c r="G47" s="636"/>
      <c r="H47" s="276"/>
      <c r="I47" s="636"/>
      <c r="J47" s="636"/>
      <c r="K47" s="636"/>
      <c r="L47" s="636"/>
      <c r="M47" s="636"/>
      <c r="N47" s="636"/>
    </row>
    <row r="48" spans="1:19" ht="20.100000000000001" customHeight="1">
      <c r="A48" s="754"/>
      <c r="B48" s="266" t="s">
        <v>2584</v>
      </c>
      <c r="C48" s="326">
        <v>2500</v>
      </c>
      <c r="D48" s="266"/>
      <c r="F48" s="261" t="s">
        <v>2656</v>
      </c>
      <c r="G48" s="637" t="s">
        <v>2657</v>
      </c>
      <c r="H48" s="261">
        <v>125</v>
      </c>
      <c r="I48" s="261">
        <v>150</v>
      </c>
      <c r="J48" s="261">
        <v>175</v>
      </c>
      <c r="K48" s="261">
        <v>200</v>
      </c>
      <c r="L48" s="261">
        <v>225</v>
      </c>
      <c r="M48" s="261">
        <v>250</v>
      </c>
      <c r="N48" s="261">
        <v>300</v>
      </c>
    </row>
    <row r="49" spans="1:15" ht="20.100000000000001" customHeight="1">
      <c r="A49" s="754"/>
      <c r="B49" s="266" t="s">
        <v>2585</v>
      </c>
      <c r="C49" s="326">
        <v>1250</v>
      </c>
      <c r="D49" s="266"/>
      <c r="F49" s="261" t="s">
        <v>2655</v>
      </c>
      <c r="G49" s="261">
        <v>1</v>
      </c>
      <c r="H49" s="261">
        <v>0.95</v>
      </c>
      <c r="I49" s="261">
        <v>0.9</v>
      </c>
      <c r="J49" s="261">
        <v>0.85</v>
      </c>
      <c r="K49" s="261">
        <v>0.8</v>
      </c>
      <c r="L49" s="261">
        <v>0.75</v>
      </c>
      <c r="M49" s="261">
        <v>0.7</v>
      </c>
      <c r="N49" s="261">
        <v>0.6</v>
      </c>
    </row>
    <row r="50" spans="1:15" ht="20.100000000000001" customHeight="1">
      <c r="A50" s="754"/>
      <c r="B50" s="266" t="s">
        <v>2586</v>
      </c>
      <c r="C50" s="326">
        <v>5000</v>
      </c>
      <c r="D50" s="266" t="s">
        <v>2614</v>
      </c>
    </row>
    <row r="51" spans="1:15" ht="20.100000000000001" customHeight="1">
      <c r="A51" s="755"/>
      <c r="B51" s="266" t="s">
        <v>2644</v>
      </c>
      <c r="C51" s="326">
        <v>50</v>
      </c>
      <c r="D51" s="266"/>
      <c r="F51" s="261" t="s">
        <v>2664</v>
      </c>
    </row>
    <row r="52" spans="1:15" ht="20.100000000000001" customHeight="1">
      <c r="A52" s="756" t="s">
        <v>2718</v>
      </c>
      <c r="B52" s="345" t="s">
        <v>2720</v>
      </c>
      <c r="C52" s="385">
        <v>6310</v>
      </c>
      <c r="D52" s="758" t="s">
        <v>2658</v>
      </c>
    </row>
    <row r="53" spans="1:15" ht="20.100000000000001" customHeight="1">
      <c r="A53" s="757"/>
      <c r="B53" s="266" t="s">
        <v>2660</v>
      </c>
      <c r="C53" s="699">
        <v>62000</v>
      </c>
      <c r="D53" s="759"/>
    </row>
    <row r="54" spans="1:15" ht="20.100000000000001" customHeight="1">
      <c r="A54" s="757"/>
      <c r="B54" s="266" t="s">
        <v>2642</v>
      </c>
      <c r="C54" s="699">
        <v>38500</v>
      </c>
      <c r="D54" s="760"/>
    </row>
    <row r="55" spans="1:15" ht="20.100000000000001" customHeight="1">
      <c r="A55" s="761" t="s">
        <v>2661</v>
      </c>
      <c r="B55" s="638" t="s">
        <v>2640</v>
      </c>
      <c r="C55" s="542">
        <f>C48/C54</f>
        <v>6.4935064935064929E-2</v>
      </c>
      <c r="D55" s="266"/>
    </row>
    <row r="56" spans="1:15" ht="20.100000000000001" customHeight="1">
      <c r="A56" s="761"/>
      <c r="B56" s="638" t="s">
        <v>2648</v>
      </c>
      <c r="C56" s="635">
        <f>Q20</f>
        <v>0.26493506493506491</v>
      </c>
      <c r="D56" s="633" t="s">
        <v>2649</v>
      </c>
    </row>
    <row r="57" spans="1:15" ht="20.100000000000001" customHeight="1">
      <c r="A57" s="761"/>
      <c r="B57" s="638" t="s">
        <v>2646</v>
      </c>
      <c r="C57" s="287">
        <f>C48/C47</f>
        <v>0.45454545454545453</v>
      </c>
      <c r="D57" s="266"/>
    </row>
    <row r="58" spans="1:15" ht="20.100000000000001" customHeight="1">
      <c r="A58" s="761"/>
      <c r="B58" s="638" t="s">
        <v>2647</v>
      </c>
      <c r="C58" s="414" t="str">
        <f>IF(C57&gt;C56,"Fa/Fr＞e","Fa/Fr≤e")</f>
        <v>Fa/Fr＞e</v>
      </c>
      <c r="D58" s="266"/>
    </row>
    <row r="59" spans="1:15" ht="20.100000000000001" customHeight="1">
      <c r="A59" s="761"/>
      <c r="B59" s="638" t="s">
        <v>2621</v>
      </c>
      <c r="C59" s="653">
        <f>IF(C57&gt;C56,0.56,1)</f>
        <v>0.56000000000000005</v>
      </c>
      <c r="D59" s="490" t="s">
        <v>2623</v>
      </c>
    </row>
    <row r="60" spans="1:15" ht="20.100000000000001" customHeight="1">
      <c r="A60" s="761"/>
      <c r="B60" s="638" t="s">
        <v>2622</v>
      </c>
      <c r="C60" s="542">
        <f>R20</f>
        <v>1.633766233766234</v>
      </c>
      <c r="D60" s="633" t="s">
        <v>2649</v>
      </c>
      <c r="F60" s="261" t="s">
        <v>2674</v>
      </c>
      <c r="O60" s="261" t="s">
        <v>2676</v>
      </c>
    </row>
    <row r="61" spans="1:15" ht="20.100000000000001" customHeight="1">
      <c r="A61" s="761"/>
      <c r="B61" s="638" t="s">
        <v>2624</v>
      </c>
      <c r="C61" s="702">
        <v>1.2</v>
      </c>
      <c r="D61" s="266" t="s">
        <v>2625</v>
      </c>
    </row>
    <row r="62" spans="1:15" ht="20.100000000000001" customHeight="1">
      <c r="A62" s="761"/>
      <c r="B62" s="638" t="s">
        <v>2651</v>
      </c>
      <c r="C62" s="702">
        <v>1</v>
      </c>
      <c r="D62" s="266" t="s">
        <v>2652</v>
      </c>
    </row>
    <row r="63" spans="1:15" ht="20.100000000000001" customHeight="1">
      <c r="A63" s="761"/>
      <c r="B63" s="638" t="s">
        <v>2637</v>
      </c>
      <c r="C63" s="287">
        <f>C61*(C59*C47+C60*C48)</f>
        <v>8597.2987012987014</v>
      </c>
      <c r="D63" s="266" t="s">
        <v>2638</v>
      </c>
    </row>
    <row r="64" spans="1:15" ht="20.100000000000001" customHeight="1">
      <c r="A64" s="761" t="s">
        <v>2662</v>
      </c>
      <c r="B64" s="638" t="s">
        <v>2636</v>
      </c>
      <c r="C64" s="287">
        <v>3</v>
      </c>
      <c r="D64" s="631"/>
    </row>
    <row r="65" spans="1:6" ht="20.100000000000001" customHeight="1">
      <c r="A65" s="761"/>
      <c r="B65" s="638" t="s">
        <v>2659</v>
      </c>
      <c r="C65" s="287">
        <f>C63/C62*(60*C49*C50/10^6)^(1/C64)</f>
        <v>61997.251788762449</v>
      </c>
      <c r="D65" s="266"/>
    </row>
    <row r="66" spans="1:6" ht="20.100000000000001" customHeight="1">
      <c r="A66" s="761"/>
      <c r="B66" s="639" t="str">
        <f>IF(C53&lt;C65,"C＞Cr","C≤Cr")</f>
        <v>C≤Cr</v>
      </c>
      <c r="C66" s="762" t="str">
        <f>IF(C53&lt;C65,"轴承额定动载荷Cr不满足要求，请重选","轴承额定动载荷Cr满足要求")</f>
        <v>轴承额定动载荷Cr满足要求</v>
      </c>
      <c r="D66" s="763"/>
    </row>
    <row r="67" spans="1:6" ht="20.100000000000001" customHeight="1">
      <c r="A67" s="761"/>
      <c r="B67" s="640" t="s">
        <v>2643</v>
      </c>
      <c r="C67" s="412">
        <f>10^6/60/C49*(C53*C62/C63)^C64</f>
        <v>5000.664948763686</v>
      </c>
      <c r="D67" s="266"/>
    </row>
    <row r="68" spans="1:6" ht="20.100000000000001" customHeight="1">
      <c r="A68" s="761"/>
      <c r="B68" s="656" t="str">
        <f>IF(C67&lt;C50,"Ls＜Lh","Ls≥Lh")</f>
        <v>Ls≥Lh</v>
      </c>
      <c r="C68" s="764" t="str">
        <f>IF(C67&lt;C50,"低于预期寿命,请重选轴承并验算寿命","寿命满足要求，可以使用")</f>
        <v>寿命满足要求，可以使用</v>
      </c>
      <c r="D68" s="765"/>
    </row>
    <row r="69" spans="1:6" ht="20.100000000000001" customHeight="1">
      <c r="A69" s="761"/>
      <c r="B69" s="766" t="s">
        <v>2663</v>
      </c>
      <c r="C69" s="767"/>
      <c r="D69" s="767"/>
      <c r="F69" s="261" t="s">
        <v>2675</v>
      </c>
    </row>
    <row r="70" spans="1:6" ht="20.100000000000001" customHeight="1">
      <c r="A70" s="752" t="s">
        <v>2673</v>
      </c>
      <c r="B70" s="752"/>
      <c r="C70" s="752"/>
      <c r="D70" s="752"/>
    </row>
    <row r="71" spans="1:6" ht="20.100000000000001" customHeight="1">
      <c r="A71" s="266" t="s">
        <v>753</v>
      </c>
      <c r="B71" s="266" t="s">
        <v>754</v>
      </c>
      <c r="C71" s="653" t="s">
        <v>755</v>
      </c>
      <c r="D71" s="266" t="s">
        <v>762</v>
      </c>
    </row>
    <row r="72" spans="1:6" ht="20.100000000000001" customHeight="1">
      <c r="A72" s="753" t="s">
        <v>2021</v>
      </c>
      <c r="B72" s="266" t="s">
        <v>2583</v>
      </c>
      <c r="C72" s="701">
        <v>5500</v>
      </c>
      <c r="D72" s="597"/>
    </row>
    <row r="73" spans="1:6" ht="20.100000000000001" customHeight="1">
      <c r="A73" s="754"/>
      <c r="B73" s="266" t="s">
        <v>2584</v>
      </c>
      <c r="C73" s="326">
        <v>2500</v>
      </c>
      <c r="D73" s="266"/>
    </row>
    <row r="74" spans="1:6" ht="20.100000000000001" customHeight="1">
      <c r="A74" s="754"/>
      <c r="B74" s="266" t="s">
        <v>2585</v>
      </c>
      <c r="C74" s="326">
        <v>1250</v>
      </c>
      <c r="D74" s="266"/>
    </row>
    <row r="75" spans="1:6" ht="20.100000000000001" customHeight="1">
      <c r="A75" s="754"/>
      <c r="B75" s="266" t="s">
        <v>2586</v>
      </c>
      <c r="C75" s="326">
        <v>5000</v>
      </c>
      <c r="D75" s="266" t="s">
        <v>2614</v>
      </c>
    </row>
    <row r="76" spans="1:6" ht="20.100000000000001" customHeight="1">
      <c r="A76" s="755"/>
      <c r="B76" s="266" t="s">
        <v>2644</v>
      </c>
      <c r="C76" s="326">
        <v>30</v>
      </c>
      <c r="D76" s="266"/>
    </row>
    <row r="77" spans="1:6" ht="20.100000000000001" customHeight="1">
      <c r="A77" s="756" t="s">
        <v>2719</v>
      </c>
      <c r="B77" s="345" t="s">
        <v>2677</v>
      </c>
      <c r="C77" s="703" t="s">
        <v>2678</v>
      </c>
      <c r="D77" s="642"/>
    </row>
    <row r="78" spans="1:6" ht="20.100000000000001" customHeight="1">
      <c r="A78" s="757"/>
      <c r="B78" s="345" t="s">
        <v>2711</v>
      </c>
      <c r="C78" s="385">
        <v>32206</v>
      </c>
      <c r="D78" s="758" t="s">
        <v>2658</v>
      </c>
    </row>
    <row r="79" spans="1:6" ht="20.100000000000001" customHeight="1">
      <c r="A79" s="757"/>
      <c r="B79" s="266" t="s">
        <v>2660</v>
      </c>
      <c r="C79" s="699">
        <v>52000</v>
      </c>
      <c r="D79" s="759"/>
    </row>
    <row r="80" spans="1:6" ht="20.100000000000001" customHeight="1">
      <c r="A80" s="757"/>
      <c r="B80" s="266" t="s">
        <v>2642</v>
      </c>
      <c r="C80" s="699">
        <v>60000</v>
      </c>
      <c r="D80" s="760"/>
    </row>
    <row r="81" spans="1:6" ht="20.100000000000001" customHeight="1">
      <c r="A81" s="757"/>
      <c r="B81" s="638" t="s">
        <v>2704</v>
      </c>
      <c r="C81" s="699">
        <v>0.38</v>
      </c>
      <c r="D81" s="771" t="s">
        <v>2681</v>
      </c>
    </row>
    <row r="82" spans="1:6" ht="20.100000000000001" customHeight="1">
      <c r="A82" s="768"/>
      <c r="B82" s="638" t="s">
        <v>2705</v>
      </c>
      <c r="C82" s="699">
        <v>1.6</v>
      </c>
      <c r="D82" s="772"/>
    </row>
    <row r="83" spans="1:6" ht="20.100000000000001" customHeight="1">
      <c r="A83" s="756" t="s">
        <v>2661</v>
      </c>
      <c r="B83" s="638" t="s">
        <v>2640</v>
      </c>
      <c r="C83" s="542">
        <f>C73/C80</f>
        <v>4.1666666666666664E-2</v>
      </c>
      <c r="D83" s="266"/>
    </row>
    <row r="84" spans="1:6" ht="20.100000000000001" customHeight="1">
      <c r="A84" s="757"/>
      <c r="B84" s="638" t="s">
        <v>2646</v>
      </c>
      <c r="C84" s="287">
        <f>C73/C72</f>
        <v>0.45454545454545453</v>
      </c>
      <c r="D84" s="266"/>
    </row>
    <row r="85" spans="1:6" ht="20.100000000000001" customHeight="1">
      <c r="A85" s="757"/>
      <c r="B85" s="638" t="s">
        <v>2680</v>
      </c>
      <c r="C85" s="635">
        <f>IF(C77="角接触球轴承7000C(15°)",Q26,IF(C77="角接触球轴承7000AC(25°)",0.68,IF(C77="角接触球轴承7000B(40°)",1.16,C81)))</f>
        <v>0.38</v>
      </c>
      <c r="D85" s="641"/>
    </row>
    <row r="86" spans="1:6" ht="20.100000000000001" customHeight="1">
      <c r="A86" s="757"/>
      <c r="B86" s="638" t="s">
        <v>2647</v>
      </c>
      <c r="C86" s="414" t="str">
        <f>IF(C84&gt;C85,"Fa/Fr＞e","Fa/Fr≤e")</f>
        <v>Fa/Fr＞e</v>
      </c>
      <c r="D86" s="266"/>
    </row>
    <row r="87" spans="1:6" ht="20.100000000000001" customHeight="1">
      <c r="A87" s="757"/>
      <c r="B87" s="638" t="s">
        <v>2621</v>
      </c>
      <c r="C87" s="653">
        <f>IF(C84&gt;C85,IF(C77="角接触球轴承7000C(15°)",0.44,IF(C77="角接触球轴承7000AC(25°)",0.41,IF(C77="角接触球轴承7000B(40°)",0.35,0.4))),1)</f>
        <v>0.4</v>
      </c>
      <c r="D87" s="490" t="s">
        <v>363</v>
      </c>
    </row>
    <row r="88" spans="1:6" ht="20.100000000000001" customHeight="1">
      <c r="A88" s="757"/>
      <c r="B88" s="638" t="s">
        <v>2622</v>
      </c>
      <c r="C88" s="542">
        <f>IF(C84&gt;C85,IF(C77="角接触球轴承7000C(15°)",R26,IF(C77="角接触球轴承7000AC(25°)",0.87,IF(C77="角接触球轴承7000B(40°)",0.57,C82))),0)</f>
        <v>1.6</v>
      </c>
      <c r="D88" s="633"/>
    </row>
    <row r="89" spans="1:6" ht="20.100000000000001" customHeight="1">
      <c r="A89" s="757"/>
      <c r="B89" s="638" t="s">
        <v>2624</v>
      </c>
      <c r="C89" s="702">
        <v>1.2</v>
      </c>
      <c r="D89" s="266" t="s">
        <v>2625</v>
      </c>
    </row>
    <row r="90" spans="1:6" ht="20.100000000000001" customHeight="1">
      <c r="A90" s="757"/>
      <c r="B90" s="638" t="s">
        <v>2651</v>
      </c>
      <c r="C90" s="702">
        <v>1</v>
      </c>
      <c r="D90" s="266" t="s">
        <v>2652</v>
      </c>
      <c r="F90" s="261" t="s">
        <v>2665</v>
      </c>
    </row>
    <row r="91" spans="1:6" ht="20.100000000000001" customHeight="1">
      <c r="A91" s="768"/>
      <c r="B91" s="638" t="s">
        <v>2637</v>
      </c>
      <c r="C91" s="287">
        <f>C89*(C87*C72+C88*C73)</f>
        <v>7440</v>
      </c>
      <c r="D91" s="266" t="s">
        <v>2638</v>
      </c>
    </row>
    <row r="92" spans="1:6" ht="20.100000000000001" customHeight="1">
      <c r="A92" s="761" t="s">
        <v>2662</v>
      </c>
      <c r="B92" s="638" t="s">
        <v>2636</v>
      </c>
      <c r="C92" s="287">
        <f>IF(C77="圆锥滚子轴承(3系)",10/3,3)</f>
        <v>3.3333333333333335</v>
      </c>
      <c r="D92" s="296"/>
    </row>
    <row r="93" spans="1:6" ht="20.100000000000001" customHeight="1">
      <c r="A93" s="761"/>
      <c r="B93" s="638" t="s">
        <v>2659</v>
      </c>
      <c r="C93" s="287">
        <f>C91/C90*(60*C74*C75/10^6)^(1/C92)</f>
        <v>44033.409677334013</v>
      </c>
      <c r="D93" s="266"/>
    </row>
    <row r="94" spans="1:6" ht="20.100000000000001" customHeight="1">
      <c r="A94" s="761"/>
      <c r="B94" s="639" t="str">
        <f>IF(C79&lt;C93,"C＞Cr","C≤Cr")</f>
        <v>C≤Cr</v>
      </c>
      <c r="C94" s="762" t="str">
        <f>IF(C79&lt;C93,"轴承额定动载荷Cr不满足要求，请重选","轴承额定动载荷Cr满足要求")</f>
        <v>轴承额定动载荷Cr满足要求</v>
      </c>
      <c r="D94" s="763"/>
    </row>
    <row r="95" spans="1:6" ht="20.100000000000001" customHeight="1">
      <c r="A95" s="761"/>
      <c r="B95" s="640" t="s">
        <v>2643</v>
      </c>
      <c r="C95" s="412">
        <f>10^6/60/C74*(C79*C90/C91)^C92</f>
        <v>8703.7571223728737</v>
      </c>
      <c r="D95" s="266"/>
    </row>
    <row r="96" spans="1:6" ht="20.100000000000001" customHeight="1">
      <c r="A96" s="761"/>
      <c r="B96" s="656" t="str">
        <f>IF(C95&lt;C75,"Ls＜Lh","Ls≥Lh")</f>
        <v>Ls≥Lh</v>
      </c>
      <c r="C96" s="764" t="str">
        <f>IF(C95&lt;C75,"低于预期寿命,请重选轴承并验算寿命","寿命满足要求，可以使用")</f>
        <v>寿命满足要求，可以使用</v>
      </c>
      <c r="D96" s="765"/>
    </row>
    <row r="97" spans="1:4" ht="20.100000000000001" customHeight="1">
      <c r="A97" s="761"/>
      <c r="B97" s="769" t="s">
        <v>2663</v>
      </c>
      <c r="C97" s="770"/>
      <c r="D97" s="770"/>
    </row>
    <row r="98" spans="1:4" ht="20.100000000000001" customHeight="1">
      <c r="A98" s="752" t="s">
        <v>2672</v>
      </c>
      <c r="B98" s="752"/>
      <c r="C98" s="752"/>
      <c r="D98" s="752"/>
    </row>
    <row r="99" spans="1:4" ht="20.100000000000001" customHeight="1">
      <c r="A99" s="266" t="s">
        <v>753</v>
      </c>
      <c r="B99" s="266" t="s">
        <v>754</v>
      </c>
      <c r="C99" s="653" t="s">
        <v>755</v>
      </c>
      <c r="D99" s="266" t="s">
        <v>762</v>
      </c>
    </row>
    <row r="100" spans="1:4" ht="20.100000000000001" customHeight="1">
      <c r="A100" s="753" t="s">
        <v>2021</v>
      </c>
      <c r="B100" s="266" t="s">
        <v>2583</v>
      </c>
      <c r="C100" s="701">
        <v>5500</v>
      </c>
      <c r="D100" s="579" t="s">
        <v>2666</v>
      </c>
    </row>
    <row r="101" spans="1:4" ht="20.100000000000001" customHeight="1">
      <c r="A101" s="754"/>
      <c r="B101" s="266" t="s">
        <v>2585</v>
      </c>
      <c r="C101" s="326">
        <v>1250</v>
      </c>
      <c r="D101" s="266"/>
    </row>
    <row r="102" spans="1:4" ht="20.100000000000001" customHeight="1">
      <c r="A102" s="754"/>
      <c r="B102" s="266" t="s">
        <v>2586</v>
      </c>
      <c r="C102" s="326">
        <v>5000</v>
      </c>
      <c r="D102" s="266" t="s">
        <v>2614</v>
      </c>
    </row>
    <row r="103" spans="1:4" ht="20.100000000000001" customHeight="1">
      <c r="A103" s="755"/>
      <c r="B103" s="266" t="s">
        <v>2644</v>
      </c>
      <c r="C103" s="326">
        <v>40</v>
      </c>
      <c r="D103" s="266"/>
    </row>
    <row r="104" spans="1:4" ht="20.100000000000001" customHeight="1">
      <c r="A104" s="756" t="s">
        <v>2671</v>
      </c>
      <c r="B104" s="638" t="s">
        <v>2624</v>
      </c>
      <c r="C104" s="702">
        <v>1.2</v>
      </c>
      <c r="D104" s="266" t="s">
        <v>2625</v>
      </c>
    </row>
    <row r="105" spans="1:4" ht="20.100000000000001" customHeight="1">
      <c r="A105" s="757"/>
      <c r="B105" s="638" t="s">
        <v>2651</v>
      </c>
      <c r="C105" s="702">
        <v>1</v>
      </c>
      <c r="D105" s="266" t="s">
        <v>2652</v>
      </c>
    </row>
    <row r="106" spans="1:4" ht="20.100000000000001" customHeight="1">
      <c r="A106" s="757"/>
      <c r="B106" s="638" t="s">
        <v>2637</v>
      </c>
      <c r="C106" s="287">
        <f>C104*C100</f>
        <v>6600</v>
      </c>
      <c r="D106" s="266" t="s">
        <v>2667</v>
      </c>
    </row>
    <row r="107" spans="1:4" ht="20.100000000000001" customHeight="1">
      <c r="A107" s="757"/>
      <c r="B107" s="638" t="s">
        <v>2636</v>
      </c>
      <c r="C107" s="287">
        <v>3.3333333333333335</v>
      </c>
      <c r="D107" s="296"/>
    </row>
    <row r="108" spans="1:4" ht="20.100000000000001" customHeight="1">
      <c r="A108" s="768"/>
      <c r="B108" s="638" t="s">
        <v>2659</v>
      </c>
      <c r="C108" s="287">
        <f>C106/C105*(60*C101*C102/10^6)^(1/C107)</f>
        <v>39061.895681505979</v>
      </c>
      <c r="D108" s="266"/>
    </row>
    <row r="109" spans="1:4" ht="20.100000000000001" customHeight="1">
      <c r="A109" s="761" t="s">
        <v>2669</v>
      </c>
      <c r="B109" s="345" t="s">
        <v>2639</v>
      </c>
      <c r="C109" s="385" t="s">
        <v>2668</v>
      </c>
      <c r="D109" s="758" t="s">
        <v>2658</v>
      </c>
    </row>
    <row r="110" spans="1:4" ht="20.100000000000001" customHeight="1">
      <c r="A110" s="761"/>
      <c r="B110" s="266" t="s">
        <v>2660</v>
      </c>
      <c r="C110" s="699">
        <v>43500</v>
      </c>
      <c r="D110" s="759"/>
    </row>
    <row r="111" spans="1:4" ht="20.100000000000001" customHeight="1">
      <c r="A111" s="761"/>
      <c r="B111" s="266" t="s">
        <v>2642</v>
      </c>
      <c r="C111" s="699">
        <v>43000</v>
      </c>
      <c r="D111" s="760"/>
    </row>
    <row r="112" spans="1:4" ht="20.100000000000001" customHeight="1">
      <c r="A112" s="756" t="s">
        <v>2670</v>
      </c>
      <c r="B112" s="640" t="s">
        <v>2643</v>
      </c>
      <c r="C112" s="412">
        <f>10^6/60/C101*(C110*C105/C106)^C107</f>
        <v>7157.4195407121069</v>
      </c>
      <c r="D112" s="266"/>
    </row>
    <row r="113" spans="1:4" ht="20.100000000000001" customHeight="1">
      <c r="A113" s="768"/>
      <c r="B113" s="656" t="str">
        <f>IF(C112&lt;C102,"Ls＜Lh","Ls≥Lh")</f>
        <v>Ls≥Lh</v>
      </c>
      <c r="C113" s="764" t="str">
        <f>IF(C112&lt;C102,"低于预期寿命,请重选轴承并验算寿命","寿命满足要求，可以使用")</f>
        <v>寿命满足要求，可以使用</v>
      </c>
      <c r="D113" s="765"/>
    </row>
    <row r="114" spans="1:4" ht="20.100000000000001" customHeight="1">
      <c r="A114" s="752" t="s">
        <v>2764</v>
      </c>
      <c r="B114" s="752"/>
      <c r="C114" s="752"/>
      <c r="D114" s="752"/>
    </row>
    <row r="115" spans="1:4" ht="20.100000000000001" customHeight="1">
      <c r="A115" s="266" t="s">
        <v>753</v>
      </c>
      <c r="B115" s="266" t="s">
        <v>1079</v>
      </c>
      <c r="C115" s="653" t="s">
        <v>2685</v>
      </c>
      <c r="D115" s="266" t="s">
        <v>762</v>
      </c>
    </row>
    <row r="116" spans="1:4" ht="20.100000000000001" customHeight="1">
      <c r="A116" s="753" t="s">
        <v>2021</v>
      </c>
      <c r="B116" s="266" t="s">
        <v>2583</v>
      </c>
      <c r="C116" s="701">
        <v>5500</v>
      </c>
      <c r="D116" s="597"/>
    </row>
    <row r="117" spans="1:4" ht="20.100000000000001" customHeight="1">
      <c r="A117" s="754"/>
      <c r="B117" s="266" t="s">
        <v>2584</v>
      </c>
      <c r="C117" s="326">
        <v>2500</v>
      </c>
      <c r="D117" s="266"/>
    </row>
    <row r="118" spans="1:4" ht="20.100000000000001" customHeight="1">
      <c r="A118" s="754"/>
      <c r="B118" s="266" t="s">
        <v>2585</v>
      </c>
      <c r="C118" s="326">
        <v>1250</v>
      </c>
      <c r="D118" s="266"/>
    </row>
    <row r="119" spans="1:4" ht="20.100000000000001" customHeight="1">
      <c r="A119" s="754"/>
      <c r="B119" s="266" t="s">
        <v>2586</v>
      </c>
      <c r="C119" s="326">
        <v>5000</v>
      </c>
      <c r="D119" s="266" t="s">
        <v>2614</v>
      </c>
    </row>
    <row r="120" spans="1:4" ht="20.100000000000001" customHeight="1">
      <c r="A120" s="755"/>
      <c r="B120" s="266" t="s">
        <v>2644</v>
      </c>
      <c r="C120" s="326">
        <v>50</v>
      </c>
      <c r="D120" s="266"/>
    </row>
    <row r="121" spans="1:4" ht="20.100000000000001" customHeight="1">
      <c r="A121" s="756" t="s">
        <v>2718</v>
      </c>
      <c r="B121" s="345" t="s">
        <v>2711</v>
      </c>
      <c r="C121" s="385"/>
      <c r="D121" s="758" t="s">
        <v>2658</v>
      </c>
    </row>
    <row r="122" spans="1:4" ht="20.100000000000001" customHeight="1">
      <c r="A122" s="757"/>
      <c r="B122" s="266" t="s">
        <v>2660</v>
      </c>
      <c r="C122" s="699"/>
      <c r="D122" s="759"/>
    </row>
    <row r="123" spans="1:4" ht="20.100000000000001" customHeight="1">
      <c r="A123" s="757"/>
      <c r="B123" s="266" t="s">
        <v>2642</v>
      </c>
      <c r="C123" s="699"/>
      <c r="D123" s="760"/>
    </row>
    <row r="124" spans="1:4" ht="20.100000000000001" customHeight="1">
      <c r="A124" s="761" t="s">
        <v>2661</v>
      </c>
      <c r="B124" s="638" t="s">
        <v>2640</v>
      </c>
      <c r="C124" s="542" t="e">
        <f>C117/C123</f>
        <v>#DIV/0!</v>
      </c>
      <c r="D124" s="266"/>
    </row>
    <row r="125" spans="1:4" ht="20.100000000000001" customHeight="1">
      <c r="A125" s="761"/>
      <c r="B125" s="638" t="s">
        <v>2648</v>
      </c>
      <c r="C125" s="704"/>
      <c r="D125" s="633" t="s">
        <v>2649</v>
      </c>
    </row>
    <row r="126" spans="1:4" ht="20.100000000000001" customHeight="1">
      <c r="A126" s="761"/>
      <c r="B126" s="638" t="s">
        <v>2646</v>
      </c>
      <c r="C126" s="287">
        <f>C117/C116</f>
        <v>0.45454545454545453</v>
      </c>
      <c r="D126" s="266"/>
    </row>
    <row r="127" spans="1:4" ht="20.100000000000001" customHeight="1">
      <c r="A127" s="761"/>
      <c r="B127" s="638" t="s">
        <v>2647</v>
      </c>
      <c r="C127" s="414" t="str">
        <f>IF(C126&gt;C125,"Fa/Fr＞e","Fa/Fr≤e")</f>
        <v>Fa/Fr＞e</v>
      </c>
      <c r="D127" s="266"/>
    </row>
    <row r="128" spans="1:4" ht="20.100000000000001" customHeight="1">
      <c r="A128" s="761"/>
      <c r="B128" s="638" t="s">
        <v>2621</v>
      </c>
      <c r="C128" s="417"/>
      <c r="D128" s="490" t="s">
        <v>363</v>
      </c>
    </row>
    <row r="129" spans="1:6" ht="20.100000000000001" customHeight="1">
      <c r="A129" s="761"/>
      <c r="B129" s="638" t="s">
        <v>2622</v>
      </c>
      <c r="C129" s="674"/>
      <c r="D129" s="490" t="s">
        <v>363</v>
      </c>
    </row>
    <row r="130" spans="1:6" ht="20.100000000000001" customHeight="1">
      <c r="A130" s="761"/>
      <c r="B130" s="638" t="s">
        <v>2624</v>
      </c>
      <c r="C130" s="702">
        <v>1.2</v>
      </c>
      <c r="D130" s="266" t="s">
        <v>2625</v>
      </c>
    </row>
    <row r="131" spans="1:6" ht="20.100000000000001" customHeight="1">
      <c r="A131" s="761"/>
      <c r="B131" s="638" t="s">
        <v>2651</v>
      </c>
      <c r="C131" s="702">
        <v>1</v>
      </c>
      <c r="D131" s="266" t="s">
        <v>2652</v>
      </c>
    </row>
    <row r="132" spans="1:6" ht="20.100000000000001" customHeight="1">
      <c r="A132" s="761"/>
      <c r="B132" s="638" t="s">
        <v>2637</v>
      </c>
      <c r="C132" s="287"/>
      <c r="D132" s="266" t="s">
        <v>2638</v>
      </c>
    </row>
    <row r="133" spans="1:6" ht="20.100000000000001" customHeight="1">
      <c r="A133" s="761" t="s">
        <v>2662</v>
      </c>
      <c r="B133" s="638" t="s">
        <v>2636</v>
      </c>
      <c r="C133" s="698" t="s">
        <v>2765</v>
      </c>
      <c r="D133" s="675">
        <f>IF(C133="球轴承",3,10/3)</f>
        <v>3</v>
      </c>
      <c r="E133" s="676"/>
    </row>
    <row r="134" spans="1:6" ht="20.100000000000001" customHeight="1">
      <c r="A134" s="761"/>
      <c r="B134" s="638" t="s">
        <v>2659</v>
      </c>
      <c r="C134" s="287">
        <f>C132/C131*(60*C118*C119/10^6)^(1/D133)</f>
        <v>0</v>
      </c>
      <c r="D134" s="266"/>
    </row>
    <row r="135" spans="1:6" ht="20.100000000000001" customHeight="1">
      <c r="A135" s="761"/>
      <c r="B135" s="639" t="str">
        <f>IF(C122&lt;C134,"C＞Cr","C≤Cr")</f>
        <v>C≤Cr</v>
      </c>
      <c r="C135" s="762" t="str">
        <f>IF(C122&lt;C134,"轴承额定动载荷Cr不满足要求，请重选","轴承额定动载荷Cr满足要求")</f>
        <v>轴承额定动载荷Cr满足要求</v>
      </c>
      <c r="D135" s="763"/>
    </row>
    <row r="136" spans="1:6" ht="20.100000000000001" customHeight="1">
      <c r="A136" s="761"/>
      <c r="B136" s="640" t="s">
        <v>2643</v>
      </c>
      <c r="C136" s="412" t="e">
        <f>10^6/60/C118*(C122*C131/C132)^D133</f>
        <v>#DIV/0!</v>
      </c>
      <c r="D136" s="266"/>
    </row>
    <row r="137" spans="1:6" ht="20.100000000000001" customHeight="1">
      <c r="A137" s="761"/>
      <c r="B137" s="656" t="e">
        <f>IF(C136&lt;C119,"Ls＜Lh","Ls≥Lh")</f>
        <v>#DIV/0!</v>
      </c>
      <c r="C137" s="764" t="e">
        <f>IF(C136&lt;C119,"低于预期寿命,请重选轴承并验算寿命","寿命满足要求，可以使用")</f>
        <v>#DIV/0!</v>
      </c>
      <c r="D137" s="765"/>
    </row>
    <row r="138" spans="1:6" ht="20.100000000000001" customHeight="1">
      <c r="A138" s="761"/>
      <c r="B138" s="766" t="s">
        <v>2663</v>
      </c>
      <c r="C138" s="767"/>
      <c r="D138" s="767"/>
    </row>
    <row r="139" spans="1:6" ht="20.100000000000001" customHeight="1">
      <c r="A139" s="752"/>
      <c r="B139" s="752"/>
      <c r="C139" s="752"/>
      <c r="D139" s="752"/>
      <c r="F139" s="261" t="s">
        <v>2761</v>
      </c>
    </row>
    <row r="140" spans="1:6" ht="20.100000000000001" customHeight="1">
      <c r="A140" s="751" t="s">
        <v>2760</v>
      </c>
      <c r="B140" s="751"/>
      <c r="C140" s="751"/>
      <c r="D140" s="751"/>
    </row>
    <row r="141" spans="1:6" ht="20.100000000000001" customHeight="1">
      <c r="A141" s="751"/>
      <c r="B141" s="751"/>
      <c r="C141" s="751"/>
      <c r="D141" s="751"/>
    </row>
    <row r="142" spans="1:6" ht="20.100000000000001" customHeight="1">
      <c r="A142" s="751"/>
      <c r="B142" s="751"/>
      <c r="C142" s="751"/>
      <c r="D142" s="751"/>
    </row>
    <row r="143" spans="1:6" ht="20.100000000000001" customHeight="1">
      <c r="A143" s="751"/>
      <c r="B143" s="751"/>
      <c r="C143" s="751"/>
      <c r="D143" s="751"/>
    </row>
    <row r="144" spans="1:6" ht="20.100000000000001" customHeight="1">
      <c r="A144" s="751"/>
      <c r="B144" s="751"/>
      <c r="C144" s="751"/>
      <c r="D144" s="751"/>
    </row>
    <row r="145" spans="1:6" ht="20.100000000000001" customHeight="1">
      <c r="A145" s="751"/>
      <c r="B145" s="751"/>
      <c r="C145" s="751"/>
      <c r="D145" s="751"/>
    </row>
    <row r="146" spans="1:6" ht="20.100000000000001" customHeight="1">
      <c r="A146" s="751"/>
      <c r="B146" s="751"/>
      <c r="C146" s="751"/>
      <c r="D146" s="751"/>
    </row>
    <row r="147" spans="1:6" ht="20.100000000000001" customHeight="1">
      <c r="A147" s="751"/>
      <c r="B147" s="751"/>
      <c r="C147" s="751"/>
      <c r="D147" s="751"/>
    </row>
    <row r="148" spans="1:6" ht="20.100000000000001" customHeight="1">
      <c r="A148" s="751"/>
      <c r="B148" s="751"/>
      <c r="C148" s="751"/>
      <c r="D148" s="751"/>
      <c r="F148" s="261" t="s">
        <v>2762</v>
      </c>
    </row>
    <row r="149" spans="1:6" ht="20.100000000000001" customHeight="1">
      <c r="A149" s="751"/>
      <c r="B149" s="751"/>
      <c r="C149" s="751"/>
      <c r="D149" s="751"/>
    </row>
    <row r="150" spans="1:6" ht="20.100000000000001" customHeight="1">
      <c r="A150" s="751"/>
      <c r="B150" s="751"/>
      <c r="C150" s="751"/>
      <c r="D150" s="751"/>
    </row>
    <row r="151" spans="1:6" ht="20.100000000000001" customHeight="1">
      <c r="A151" s="751"/>
      <c r="B151" s="751"/>
      <c r="C151" s="751"/>
      <c r="D151" s="751"/>
    </row>
    <row r="152" spans="1:6" ht="20.100000000000001" customHeight="1">
      <c r="A152" s="751"/>
      <c r="B152" s="751"/>
      <c r="C152" s="751"/>
      <c r="D152" s="751"/>
    </row>
    <row r="153" spans="1:6" ht="20.100000000000001" customHeight="1">
      <c r="A153" s="751"/>
      <c r="B153" s="751"/>
      <c r="C153" s="751"/>
      <c r="D153" s="751"/>
    </row>
    <row r="154" spans="1:6" ht="20.100000000000001" customHeight="1">
      <c r="A154" s="751"/>
      <c r="B154" s="751"/>
      <c r="C154" s="751"/>
      <c r="D154" s="751"/>
    </row>
    <row r="155" spans="1:6" ht="20.100000000000001" customHeight="1">
      <c r="A155" s="751"/>
      <c r="B155" s="751"/>
      <c r="C155" s="751"/>
      <c r="D155" s="751"/>
    </row>
    <row r="156" spans="1:6" ht="20.100000000000001" customHeight="1">
      <c r="A156" s="751"/>
      <c r="B156" s="751"/>
      <c r="C156" s="751"/>
      <c r="D156" s="751"/>
    </row>
    <row r="157" spans="1:6" ht="20.100000000000001" customHeight="1">
      <c r="A157" s="751"/>
      <c r="B157" s="751"/>
      <c r="C157" s="751"/>
      <c r="D157" s="751"/>
    </row>
    <row r="158" spans="1:6" ht="20.100000000000001" customHeight="1">
      <c r="A158" s="751"/>
      <c r="B158" s="751"/>
      <c r="C158" s="751"/>
      <c r="D158" s="751"/>
    </row>
    <row r="159" spans="1:6" ht="20.100000000000001" customHeight="1">
      <c r="A159" s="751"/>
      <c r="B159" s="751"/>
      <c r="C159" s="751"/>
      <c r="D159" s="751"/>
    </row>
    <row r="160" spans="1:6" ht="20.100000000000001" customHeight="1">
      <c r="A160" s="751"/>
      <c r="B160" s="751"/>
      <c r="C160" s="751"/>
      <c r="D160" s="751"/>
    </row>
    <row r="161" spans="1:4" ht="20.100000000000001" customHeight="1">
      <c r="A161" s="785" t="s">
        <v>2766</v>
      </c>
      <c r="B161" s="786"/>
      <c r="C161" s="786"/>
      <c r="D161" s="787"/>
    </row>
    <row r="162" spans="1:4" ht="20.100000000000001" customHeight="1">
      <c r="A162" s="785"/>
      <c r="B162" s="786"/>
      <c r="C162" s="786"/>
      <c r="D162" s="787"/>
    </row>
    <row r="163" spans="1:4" ht="20.100000000000001" customHeight="1">
      <c r="A163" s="785"/>
      <c r="B163" s="786"/>
      <c r="C163" s="786"/>
      <c r="D163" s="787"/>
    </row>
    <row r="164" spans="1:4" ht="20.100000000000001" customHeight="1" thickBot="1">
      <c r="A164" s="788"/>
      <c r="B164" s="789"/>
      <c r="C164" s="789"/>
      <c r="D164" s="790"/>
    </row>
  </sheetData>
  <sheetProtection password="828E" sheet="1" objects="1" scenarios="1"/>
  <dataConsolidate/>
  <mergeCells count="87">
    <mergeCell ref="S31:S38"/>
    <mergeCell ref="A44:D44"/>
    <mergeCell ref="D31:D32"/>
    <mergeCell ref="A21:A36"/>
    <mergeCell ref="I5:I6"/>
    <mergeCell ref="L19:M19"/>
    <mergeCell ref="J19:K19"/>
    <mergeCell ref="F19:F20"/>
    <mergeCell ref="I19:I20"/>
    <mergeCell ref="A37:A43"/>
    <mergeCell ref="J21:J26"/>
    <mergeCell ref="K21:K26"/>
    <mergeCell ref="L21:L26"/>
    <mergeCell ref="F21:F26"/>
    <mergeCell ref="F3:F4"/>
    <mergeCell ref="F5:F6"/>
    <mergeCell ref="G5:G6"/>
    <mergeCell ref="H5:H6"/>
    <mergeCell ref="A6:A11"/>
    <mergeCell ref="A3:D4"/>
    <mergeCell ref="A161:D164"/>
    <mergeCell ref="F13:F14"/>
    <mergeCell ref="A52:A54"/>
    <mergeCell ref="G21:G26"/>
    <mergeCell ref="G27:G35"/>
    <mergeCell ref="G19:G20"/>
    <mergeCell ref="C66:D66"/>
    <mergeCell ref="C68:D68"/>
    <mergeCell ref="F27:F37"/>
    <mergeCell ref="A55:A63"/>
    <mergeCell ref="A64:A69"/>
    <mergeCell ref="A98:D98"/>
    <mergeCell ref="A109:A111"/>
    <mergeCell ref="D109:D111"/>
    <mergeCell ref="A139:D139"/>
    <mergeCell ref="B69:D69"/>
    <mergeCell ref="A1:D1"/>
    <mergeCell ref="F15:F16"/>
    <mergeCell ref="G14:H14"/>
    <mergeCell ref="G15:H15"/>
    <mergeCell ref="G16:H16"/>
    <mergeCell ref="G11:H11"/>
    <mergeCell ref="F11:F12"/>
    <mergeCell ref="G12:H12"/>
    <mergeCell ref="G13:H13"/>
    <mergeCell ref="A2:D2"/>
    <mergeCell ref="F9:H9"/>
    <mergeCell ref="F10:H10"/>
    <mergeCell ref="A12:A13"/>
    <mergeCell ref="A15:A20"/>
    <mergeCell ref="G3:I3"/>
    <mergeCell ref="A14:B14"/>
    <mergeCell ref="I43:N43"/>
    <mergeCell ref="F43:G43"/>
    <mergeCell ref="F44:G44"/>
    <mergeCell ref="F45:G45"/>
    <mergeCell ref="F46:G46"/>
    <mergeCell ref="A45:D45"/>
    <mergeCell ref="D52:D54"/>
    <mergeCell ref="A47:A51"/>
    <mergeCell ref="I44:N44"/>
    <mergeCell ref="A100:A103"/>
    <mergeCell ref="I45:N45"/>
    <mergeCell ref="I46:N46"/>
    <mergeCell ref="A104:A108"/>
    <mergeCell ref="A112:A113"/>
    <mergeCell ref="A70:D70"/>
    <mergeCell ref="A72:A76"/>
    <mergeCell ref="A92:A97"/>
    <mergeCell ref="C94:D94"/>
    <mergeCell ref="C96:D96"/>
    <mergeCell ref="B97:D97"/>
    <mergeCell ref="D78:D80"/>
    <mergeCell ref="C113:D113"/>
    <mergeCell ref="D81:D82"/>
    <mergeCell ref="A77:A82"/>
    <mergeCell ref="A83:A91"/>
    <mergeCell ref="A140:D160"/>
    <mergeCell ref="A114:D114"/>
    <mergeCell ref="A116:A120"/>
    <mergeCell ref="A121:A123"/>
    <mergeCell ref="D121:D123"/>
    <mergeCell ref="A124:A132"/>
    <mergeCell ref="A133:A138"/>
    <mergeCell ref="C135:D135"/>
    <mergeCell ref="C137:D137"/>
    <mergeCell ref="B138:D138"/>
  </mergeCells>
  <phoneticPr fontId="4" type="noConversion"/>
  <dataValidations count="4">
    <dataValidation type="list" allowBlank="1" showInputMessage="1" showErrorMessage="1" sqref="C77">
      <formula1>"圆锥滚子轴承(3系),角接触球轴承7000C(15°),角接触球轴承7000AC(25°),角接触球轴承7000B(40°)"</formula1>
    </dataValidation>
    <dataValidation type="list" allowBlank="1" showInputMessage="1" showErrorMessage="1" sqref="C41 C18 C26">
      <formula1>"左侧轴承被压紧,右侧轴承被压紧"</formula1>
    </dataValidation>
    <dataValidation type="list" allowBlank="1" showInputMessage="1" showErrorMessage="1" sqref="C15">
      <formula1>"7000AC,7000B"</formula1>
    </dataValidation>
    <dataValidation type="list" allowBlank="1" showInputMessage="1" showErrorMessage="1" sqref="C133">
      <formula1>"球轴承,滚子轴承"</formula1>
    </dataValidation>
  </dataValidations>
  <pageMargins left="0.7" right="0.7" top="0.75" bottom="0.75" header="0.3" footer="0.3"/>
  <pageSetup paperSize="9" orientation="portrait" horizontalDpi="0" verticalDpi="0" r:id="rId1"/>
  <drawing r:id="rId2"/>
  <legacyDrawing r:id="rId3"/>
  <oleObjects>
    <oleObject progId="Equations" shapeId="32785" r:id="rId4"/>
    <oleObject progId="Equations" shapeId="32787" r:id="rId5"/>
    <oleObject progId="Equations" shapeId="32789" r:id="rId6"/>
    <oleObject progId="Equations" shapeId="32790" r:id="rId7"/>
    <oleObject progId="Equations" shapeId="32797" r:id="rId8"/>
    <oleObject progId="Equations" shapeId="32798" r:id="rId9"/>
    <oleObject progId="Equations" shapeId="32802" r:id="rId10"/>
    <oleObject progId="Equations" shapeId="32819" r:id="rId11"/>
    <oleObject progId="Equations" shapeId="32820" r:id="rId12"/>
  </oleObjects>
</worksheet>
</file>

<file path=xl/worksheets/sheet4.xml><?xml version="1.0" encoding="utf-8"?>
<worksheet xmlns="http://schemas.openxmlformats.org/spreadsheetml/2006/main" xmlns:r="http://schemas.openxmlformats.org/officeDocument/2006/relationships">
  <sheetPr codeName="Sheet2"/>
  <dimension ref="A1:M191"/>
  <sheetViews>
    <sheetView workbookViewId="0">
      <selection activeCell="D5" sqref="D5:D6"/>
    </sheetView>
  </sheetViews>
  <sheetFormatPr defaultRowHeight="17.100000000000001" customHeight="1"/>
  <cols>
    <col min="1" max="4" width="15.625" style="24" customWidth="1"/>
    <col min="5" max="5" width="8.375" style="25" customWidth="1"/>
    <col min="6" max="6" width="14.375" style="25" customWidth="1"/>
    <col min="7" max="7" width="14" style="25" customWidth="1"/>
    <col min="8" max="11" width="13.625" style="25" customWidth="1"/>
    <col min="12" max="14" width="9" style="25" customWidth="1"/>
    <col min="15" max="16384" width="9" style="25"/>
  </cols>
  <sheetData>
    <row r="1" spans="1:10" ht="21.95" customHeight="1">
      <c r="A1" s="850" t="s">
        <v>298</v>
      </c>
      <c r="B1" s="850"/>
      <c r="C1" s="850"/>
      <c r="D1" s="850"/>
      <c r="E1" s="226"/>
    </row>
    <row r="2" spans="1:10" ht="17.100000000000001" customHeight="1">
      <c r="A2" s="831" t="s">
        <v>272</v>
      </c>
      <c r="B2" s="851"/>
      <c r="C2" s="851"/>
      <c r="D2" s="852"/>
      <c r="F2" s="25" t="s">
        <v>200</v>
      </c>
      <c r="G2" s="37"/>
    </row>
    <row r="3" spans="1:10" ht="17.100000000000001" customHeight="1">
      <c r="A3" s="855" t="s">
        <v>116</v>
      </c>
      <c r="B3" s="855"/>
      <c r="C3" s="209" t="s">
        <v>117</v>
      </c>
      <c r="D3" s="209" t="s">
        <v>118</v>
      </c>
      <c r="F3" s="847" t="s">
        <v>219</v>
      </c>
      <c r="G3" s="824" t="s">
        <v>218</v>
      </c>
      <c r="H3" s="824"/>
      <c r="I3" s="824"/>
      <c r="J3" s="824"/>
    </row>
    <row r="4" spans="1:10" ht="17.100000000000001" customHeight="1">
      <c r="A4" s="853" t="s">
        <v>201</v>
      </c>
      <c r="B4" s="209" t="s">
        <v>198</v>
      </c>
      <c r="C4" s="199">
        <v>1</v>
      </c>
      <c r="D4" s="209" t="s">
        <v>137</v>
      </c>
      <c r="F4" s="847"/>
      <c r="G4" s="36" t="s">
        <v>229</v>
      </c>
      <c r="H4" s="203" t="s">
        <v>224</v>
      </c>
      <c r="I4" s="203" t="s">
        <v>225</v>
      </c>
      <c r="J4" s="203" t="s">
        <v>226</v>
      </c>
    </row>
    <row r="5" spans="1:10" ht="17.100000000000001" customHeight="1">
      <c r="A5" s="854"/>
      <c r="B5" s="209" t="s">
        <v>199</v>
      </c>
      <c r="C5" s="61" t="str">
        <f>IF(D5=G11,"1.1",IF(D5=H11,"1.2",IF(D5=I11,"1.3",IF(D5=J11,"1.4","请在右侧在选择"))))</f>
        <v>1.2</v>
      </c>
      <c r="D5" s="231" t="s">
        <v>268</v>
      </c>
      <c r="F5" s="203" t="s">
        <v>220</v>
      </c>
      <c r="G5" s="38" t="s">
        <v>227</v>
      </c>
      <c r="H5" s="208">
        <v>1.1000000000000001</v>
      </c>
      <c r="I5" s="208">
        <v>1.25</v>
      </c>
      <c r="J5" s="208">
        <v>1.5</v>
      </c>
    </row>
    <row r="6" spans="1:10" ht="17.100000000000001" customHeight="1">
      <c r="A6" s="854"/>
      <c r="B6" s="209" t="s">
        <v>196</v>
      </c>
      <c r="C6" s="61" t="str">
        <f>IF(D6=G26,"1",IF(D6=H26,"1.1",IF(D6=I26,"1.2",IF(D6=J26,"1.4","请在右侧在选择"))))</f>
        <v>1.2</v>
      </c>
      <c r="D6" s="232" t="s">
        <v>263</v>
      </c>
      <c r="F6" s="203" t="s">
        <v>221</v>
      </c>
      <c r="G6" s="38" t="s">
        <v>230</v>
      </c>
      <c r="H6" s="208">
        <v>1.35</v>
      </c>
      <c r="I6" s="208">
        <v>1.5</v>
      </c>
      <c r="J6" s="208">
        <v>1.75</v>
      </c>
    </row>
    <row r="7" spans="1:10" ht="17.100000000000001" customHeight="1">
      <c r="A7" s="21">
        <f>C4*C5*C6*C7</f>
        <v>1.9396799999999998</v>
      </c>
      <c r="B7" s="209" t="s">
        <v>197</v>
      </c>
      <c r="C7" s="73">
        <v>1.347</v>
      </c>
      <c r="D7" s="209" t="s">
        <v>138</v>
      </c>
      <c r="F7" s="203" t="s">
        <v>222</v>
      </c>
      <c r="G7" s="38" t="s">
        <v>231</v>
      </c>
      <c r="H7" s="208">
        <v>1.4</v>
      </c>
      <c r="I7" s="208">
        <v>1.75</v>
      </c>
      <c r="J7" s="208">
        <v>2</v>
      </c>
    </row>
    <row r="8" spans="1:10" ht="17.100000000000001" customHeight="1">
      <c r="A8" s="22" t="s">
        <v>217</v>
      </c>
      <c r="B8" s="16" t="s">
        <v>238</v>
      </c>
      <c r="C8" s="199">
        <v>1</v>
      </c>
      <c r="D8" s="209" t="s">
        <v>141</v>
      </c>
      <c r="F8" s="203" t="s">
        <v>223</v>
      </c>
      <c r="G8" s="38" t="s">
        <v>232</v>
      </c>
      <c r="H8" s="208">
        <v>1.85</v>
      </c>
      <c r="I8" s="208">
        <v>2</v>
      </c>
      <c r="J8" s="208" t="s">
        <v>228</v>
      </c>
    </row>
    <row r="9" spans="1:10" ht="17.100000000000001" customHeight="1">
      <c r="A9" s="855" t="s">
        <v>159</v>
      </c>
      <c r="B9" s="855"/>
      <c r="C9" s="199">
        <v>3.2</v>
      </c>
      <c r="D9" s="209"/>
    </row>
    <row r="10" spans="1:10" ht="17.100000000000001" customHeight="1">
      <c r="A10" s="838" t="s">
        <v>259</v>
      </c>
      <c r="B10" s="839"/>
      <c r="C10" s="199">
        <v>20</v>
      </c>
      <c r="D10" s="209" t="s">
        <v>260</v>
      </c>
      <c r="F10" s="25" t="s">
        <v>296</v>
      </c>
    </row>
    <row r="11" spans="1:10" ht="17.100000000000001" customHeight="1">
      <c r="A11" s="848" t="s">
        <v>256</v>
      </c>
      <c r="B11" s="849"/>
      <c r="C11" s="199">
        <v>14</v>
      </c>
      <c r="D11" s="209" t="s">
        <v>255</v>
      </c>
      <c r="F11" s="846" t="s">
        <v>143</v>
      </c>
      <c r="G11" s="26" t="s">
        <v>123</v>
      </c>
      <c r="H11" s="26" t="s">
        <v>124</v>
      </c>
      <c r="I11" s="26" t="s">
        <v>125</v>
      </c>
      <c r="J11" s="26" t="s">
        <v>126</v>
      </c>
    </row>
    <row r="12" spans="1:10" ht="17.100000000000001" customHeight="1">
      <c r="A12" s="838" t="s">
        <v>257</v>
      </c>
      <c r="B12" s="839"/>
      <c r="C12" s="65">
        <f>0.318*C8*B19*ROUND(TAN(RADIANS(C11)),3)</f>
        <v>1.9003679999999998</v>
      </c>
      <c r="D12" s="16" t="s">
        <v>288</v>
      </c>
      <c r="F12" s="826"/>
      <c r="G12" s="208">
        <v>1.1000000000000001</v>
      </c>
      <c r="H12" s="208">
        <v>1.2</v>
      </c>
      <c r="I12" s="208">
        <v>1.3</v>
      </c>
      <c r="J12" s="208">
        <v>1.4</v>
      </c>
    </row>
    <row r="13" spans="1:10" ht="17.100000000000001" customHeight="1">
      <c r="A13" s="838" t="s">
        <v>294</v>
      </c>
      <c r="B13" s="839"/>
      <c r="C13" s="65">
        <f>IF(C12&lt;1,1-0.25*C12/30*C11,1-0.25/30*C11)</f>
        <v>0.8833333333333333</v>
      </c>
      <c r="D13" s="16"/>
      <c r="I13" s="52" t="s">
        <v>235</v>
      </c>
    </row>
    <row r="14" spans="1:10" ht="17.100000000000001" customHeight="1">
      <c r="A14" s="838" t="s">
        <v>258</v>
      </c>
      <c r="B14" s="839"/>
      <c r="C14" s="65">
        <f>(B19*(TAN(ACOS(B19*COS(ATAN(TAN(RADIANS(C10))/COS(RADIANS(C11))))/(B19+2*COS(RADIANS(C11)))))-TAN(RADIANS(C10))/COS(RADIANS(C11)))+C19*(TAN(ACOS(C19*COS(ATAN(TAN(RADIANS(C10))/COS(RADIANS(C11))))/(C19+2*COS(RADIANS(C11)))))-TAN(RADIANS(C10))/COS(RADIANS(C11))))/(2*PI())</f>
        <v>1.6391227961472556</v>
      </c>
      <c r="D14" s="16" t="s">
        <v>262</v>
      </c>
      <c r="I14" s="52"/>
    </row>
    <row r="15" spans="1:10" ht="17.100000000000001" customHeight="1">
      <c r="A15" s="856" t="s">
        <v>135</v>
      </c>
      <c r="B15" s="204" t="s">
        <v>166</v>
      </c>
      <c r="C15" s="199">
        <v>10</v>
      </c>
      <c r="D15" s="209"/>
    </row>
    <row r="16" spans="1:10" ht="17.100000000000001" customHeight="1">
      <c r="A16" s="856"/>
      <c r="B16" s="204" t="s">
        <v>165</v>
      </c>
      <c r="C16" s="199"/>
      <c r="D16" s="20">
        <f>IF(OR(C16="",C16=0),9549*C15/B26*1000,C16)</f>
        <v>99468.75</v>
      </c>
    </row>
    <row r="17" spans="1:10" ht="17.100000000000001" customHeight="1">
      <c r="A17" s="858"/>
      <c r="B17" s="859"/>
      <c r="C17" s="859"/>
      <c r="D17" s="860"/>
    </row>
    <row r="18" spans="1:10" ht="17.100000000000001" customHeight="1">
      <c r="A18" s="209" t="s">
        <v>115</v>
      </c>
      <c r="B18" s="209" t="s">
        <v>121</v>
      </c>
      <c r="C18" s="209" t="s">
        <v>122</v>
      </c>
      <c r="D18" s="209" t="s">
        <v>118</v>
      </c>
    </row>
    <row r="19" spans="1:10" ht="17.100000000000001" customHeight="1">
      <c r="A19" s="209" t="s">
        <v>264</v>
      </c>
      <c r="B19" s="199">
        <v>24</v>
      </c>
      <c r="C19" s="61">
        <f>ROUND(B19*C9,0)</f>
        <v>77</v>
      </c>
      <c r="D19" s="209" t="s">
        <v>340</v>
      </c>
    </row>
    <row r="20" spans="1:10" ht="17.100000000000001" customHeight="1">
      <c r="A20" s="209" t="s">
        <v>265</v>
      </c>
      <c r="B20" s="65">
        <f>B19/(COS(RADIANS(C11))^3)</f>
        <v>26.272347884990463</v>
      </c>
      <c r="C20" s="65">
        <f>C19/(COS(RADIANS(C11))^3)</f>
        <v>84.290449464344391</v>
      </c>
      <c r="D20" s="209" t="s">
        <v>338</v>
      </c>
    </row>
    <row r="21" spans="1:10" ht="17.100000000000001" customHeight="1">
      <c r="A21" s="23" t="s">
        <v>215</v>
      </c>
      <c r="B21" s="71">
        <f>IF(B20&lt;35,-0.0000570752776635208*((B20-16)/(ROUND(COS(RADIANS(C11)),3))^3)^3+0.00307677616500968*((B20-16)/(ROUND(COS(RADIANS(C11)),3))^3)^2-0.0688841305752419*((B20-16)/(ROUND(COS(RADIANS(C11)),3))^3)+3.03422577422526,IF(B20&lt;110,-0.00141414141414042*((B20/10-2)/(ROUND(COS(RADIANS(C11)),3))^3)^3+0.0267099567099223*((B20/10-2)/(ROUND(COS(RADIANS(C11)),3))^3)^2-0.18568542568536*((B20/10-2)/(ROUND(COS(RADIANS(C11)),3))^3)+2.6785714285711,IF(B20&lt;160,2.14,IF(B20&lt;210,2.12,2.1))))</f>
        <v>2.5673068136667294</v>
      </c>
      <c r="C21" s="71">
        <f>IF(C20&lt;35,-0.0000570752776635208*((C20-16)/(ROUND(COS(RADIANS(C11)),3))^3)^3+0.00307677616500968*((C20-16)/(ROUND(COS(RADIANS(C11)),3))^3)^2-0.0688841305752419*((C20-16)/(ROUND(COS(RADIANS(C11)),3))^3)+3.03422577422526,IF(C20&lt;110,-0.00141414141414042*((C20/10-2)/(ROUND(COS(RADIANS(C11)),3))^3)^3+0.0267099567099223*((C20/10-2)/(ROUND(COS(RADIANS(C11)),3))^3)^2-0.18568542568536*((C20/10-2)/(ROUND(COS(RADIANS(C11)),3))^3)+2.6785714285711,IF(C20&lt;160,2.14,IF(C20&lt;210,2.12,2.1))))</f>
        <v>2.2016375829912587</v>
      </c>
      <c r="D21" s="209"/>
    </row>
    <row r="22" spans="1:10" ht="17.100000000000001" customHeight="1">
      <c r="A22" s="209" t="s">
        <v>216</v>
      </c>
      <c r="B22" s="65">
        <f>IF(B19&lt;35,0.0000291375291376905*((B19-16)/(ROUND(COS(RADIANS(C11)),3))^3)^3 - 0.00079295704295923 *((B19-16)/(ROUND(COS(RADIANS(C11)),3))^3)^2 + 0.0139880952381617*((B19-16)/(ROUND(COS(RADIANS(C11)),3))^3) + 1.50570429570396,IF(B19&lt;130,-0.0027083333*((B19/10-2)/(ROUND(COS(RADIANS(C11)),3))^3)^2 + 0.0474107143*((B19/10-2)/(ROUND(COS(RADIANS(C11)),3))^3) + 1.5825892857,IF(B19&lt;160,1.83,IF(B19&lt;210,1.865,1.9)) ))</f>
        <v>1.5870144147407317</v>
      </c>
      <c r="C22" s="65">
        <f>IF(C19&lt;35,0.0000291375291376905*((C19-16)/(ROUND(COS(RADIANS(C11)),3))^3)^3 - 0.00079295704295923 *((C19-16)/(ROUND(COS(RADIANS(C11)),3))^3)^2 + 0.0139880952381617*((C19-16)/(ROUND(COS(RADIANS(C11)),3))^3) + 1.50570429570396,IF(C19&lt;130,-0.0027083333*((C19/10-2)/(ROUND(COS(RADIANS(C11)),3))^3)^2 + 0.0474107143*((C19/10-2)/(ROUND(COS(RADIANS(C11)),3))^3)+ 1.5825892857,IF(C19&lt;160,1.83,IF(C19&lt;210,1.865,1.9)) ))</f>
        <v>1.7730494447479248</v>
      </c>
      <c r="D22" s="209"/>
    </row>
    <row r="23" spans="1:10" ht="17.100000000000001" customHeight="1">
      <c r="A23" s="209" t="s">
        <v>214</v>
      </c>
      <c r="B23" s="65">
        <f>B21*B22</f>
        <v>4.0743529203511972</v>
      </c>
      <c r="C23" s="65">
        <f>C21*C22</f>
        <v>3.9036122940588145</v>
      </c>
      <c r="D23" s="209"/>
    </row>
    <row r="24" spans="1:10" ht="17.100000000000001" customHeight="1">
      <c r="A24" s="209" t="s">
        <v>131</v>
      </c>
      <c r="B24" s="199">
        <v>1</v>
      </c>
      <c r="C24" s="199">
        <v>1</v>
      </c>
      <c r="D24" s="209"/>
    </row>
    <row r="25" spans="1:10" ht="17.100000000000001" customHeight="1">
      <c r="A25" s="209" t="s">
        <v>120</v>
      </c>
      <c r="B25" s="857">
        <f>2*8*300*15</f>
        <v>72000</v>
      </c>
      <c r="C25" s="857"/>
      <c r="D25" s="67" t="s">
        <v>254</v>
      </c>
      <c r="F25" s="25" t="s">
        <v>234</v>
      </c>
    </row>
    <row r="26" spans="1:10" ht="17.100000000000001" customHeight="1">
      <c r="A26" s="209" t="s">
        <v>132</v>
      </c>
      <c r="B26" s="199">
        <v>960</v>
      </c>
      <c r="C26" s="61">
        <f>B26/C9</f>
        <v>300</v>
      </c>
      <c r="D26" s="209"/>
      <c r="F26" s="843" t="s">
        <v>130</v>
      </c>
      <c r="G26" s="60" t="s">
        <v>251</v>
      </c>
      <c r="H26" s="206" t="s">
        <v>252</v>
      </c>
      <c r="I26" s="206" t="s">
        <v>253</v>
      </c>
      <c r="J26" s="48" t="s">
        <v>101</v>
      </c>
    </row>
    <row r="27" spans="1:10" ht="17.100000000000001" customHeight="1">
      <c r="A27" s="209" t="s">
        <v>133</v>
      </c>
      <c r="B27" s="66">
        <f>60*B26*B24*B25</f>
        <v>4147200000</v>
      </c>
      <c r="C27" s="66">
        <f>60*C26*C24*B25</f>
        <v>1296000000</v>
      </c>
      <c r="D27" s="209" t="s">
        <v>119</v>
      </c>
      <c r="F27" s="844"/>
      <c r="G27" s="49" t="s">
        <v>233</v>
      </c>
      <c r="H27" s="27" t="s">
        <v>127</v>
      </c>
      <c r="I27" s="27" t="s">
        <v>128</v>
      </c>
      <c r="J27" s="28"/>
    </row>
    <row r="28" spans="1:10" ht="17.100000000000001" customHeight="1">
      <c r="A28" s="209" t="s">
        <v>243</v>
      </c>
      <c r="B28" s="199">
        <v>0.9</v>
      </c>
      <c r="C28" s="199">
        <v>0.95</v>
      </c>
      <c r="D28" s="209" t="s">
        <v>142</v>
      </c>
      <c r="F28" s="845"/>
      <c r="G28" s="47">
        <v>1</v>
      </c>
      <c r="H28" s="208">
        <v>1.1000000000000001</v>
      </c>
      <c r="I28" s="208">
        <v>1.2</v>
      </c>
      <c r="J28" s="208">
        <v>1.4</v>
      </c>
    </row>
    <row r="29" spans="1:10" ht="17.100000000000001" customHeight="1">
      <c r="A29" s="209" t="s">
        <v>134</v>
      </c>
      <c r="B29" s="199">
        <v>300</v>
      </c>
      <c r="C29" s="199">
        <v>250</v>
      </c>
      <c r="D29" s="209"/>
      <c r="F29" s="227"/>
      <c r="G29" s="51"/>
      <c r="H29" s="51"/>
      <c r="I29" s="51"/>
      <c r="J29" s="51"/>
    </row>
    <row r="30" spans="1:10" ht="17.100000000000001" customHeight="1">
      <c r="A30" s="209" t="s">
        <v>213</v>
      </c>
      <c r="B30" s="199">
        <v>400</v>
      </c>
      <c r="C30" s="199">
        <v>380</v>
      </c>
      <c r="D30" s="209" t="s">
        <v>139</v>
      </c>
      <c r="F30" s="228" t="s">
        <v>297</v>
      </c>
      <c r="G30" s="51"/>
      <c r="H30" s="51"/>
      <c r="I30" s="51"/>
      <c r="J30" s="51"/>
    </row>
    <row r="31" spans="1:10" ht="17.100000000000001" customHeight="1">
      <c r="A31" s="209" t="s">
        <v>211</v>
      </c>
      <c r="B31" s="61">
        <f>B28*B30/1.5</f>
        <v>240</v>
      </c>
      <c r="C31" s="65">
        <f>C28*C30/1.5</f>
        <v>240.66666666666666</v>
      </c>
      <c r="D31" s="16" t="s">
        <v>195</v>
      </c>
      <c r="F31" s="227"/>
      <c r="G31" s="51"/>
      <c r="H31" s="51"/>
      <c r="I31" s="51"/>
      <c r="J31" s="51"/>
    </row>
    <row r="32" spans="1:10" ht="17.100000000000001" customHeight="1">
      <c r="A32" s="209" t="s">
        <v>212</v>
      </c>
      <c r="B32" s="70">
        <f>B23/B31</f>
        <v>1.6976470501463323E-2</v>
      </c>
      <c r="C32" s="70">
        <f>C23/C31</f>
        <v>1.6219995681684824E-2</v>
      </c>
      <c r="D32" s="209" t="s">
        <v>140</v>
      </c>
      <c r="F32" s="227"/>
      <c r="G32" s="51"/>
      <c r="H32" s="51"/>
      <c r="I32" s="51"/>
      <c r="J32" s="51"/>
    </row>
    <row r="33" spans="1:10" ht="17.100000000000001" customHeight="1">
      <c r="A33" s="835"/>
      <c r="B33" s="836"/>
      <c r="C33" s="837"/>
      <c r="D33" s="209"/>
      <c r="F33" s="227"/>
      <c r="G33" s="51"/>
      <c r="H33" s="51"/>
      <c r="I33" s="51"/>
      <c r="J33" s="51"/>
    </row>
    <row r="34" spans="1:10" ht="17.100000000000001" customHeight="1">
      <c r="A34" s="68" t="str">
        <f>IF(OR(C11="",C11=0),"直齿轮","斜齿轮")</f>
        <v>斜齿轮</v>
      </c>
      <c r="B34" s="69" t="s">
        <v>261</v>
      </c>
      <c r="C34" s="17">
        <f>IF(OR(C11=0,C11=""),IF(B32&gt;C32,(2*D16*A7/(C8*B19^2)*B32)^(1/3),(2*D16*A7/(C8*B19^2)*C32)^(1/3)),IF(B32&gt;C32,(2*D16*A7*C13*(COS(RADIANS(C11)))^2/(C8*B19^2*C14)*B32)^(1/3),(2*D16*A7*C13*(COS(RADIANS(C11)))^2/(C8*B19^2*C14)*C32)^(1/3))    )</f>
        <v>1.7936223618594915</v>
      </c>
      <c r="D34" s="209"/>
      <c r="F34" s="227"/>
      <c r="G34" s="51"/>
      <c r="H34" s="51"/>
      <c r="I34" s="51"/>
      <c r="J34" s="51"/>
    </row>
    <row r="35" spans="1:10" ht="17.100000000000001" customHeight="1">
      <c r="A35" s="835"/>
      <c r="B35" s="836"/>
      <c r="C35" s="837"/>
      <c r="D35" s="209"/>
      <c r="F35" s="227"/>
      <c r="G35" s="51"/>
      <c r="H35" s="51"/>
      <c r="I35" s="51"/>
      <c r="J35" s="51"/>
    </row>
    <row r="36" spans="1:10" ht="17.100000000000001" customHeight="1">
      <c r="A36" s="831" t="s">
        <v>273</v>
      </c>
      <c r="B36" s="832"/>
      <c r="C36" s="832"/>
      <c r="D36" s="833"/>
      <c r="G36" s="51"/>
      <c r="H36" s="51"/>
      <c r="I36" s="51"/>
      <c r="J36" s="51"/>
    </row>
    <row r="37" spans="1:10" ht="17.100000000000001" customHeight="1">
      <c r="A37" s="209" t="s">
        <v>115</v>
      </c>
      <c r="B37" s="209" t="s">
        <v>121</v>
      </c>
      <c r="C37" s="209" t="s">
        <v>122</v>
      </c>
      <c r="D37" s="209" t="s">
        <v>15</v>
      </c>
      <c r="G37" s="51"/>
      <c r="H37" s="51"/>
      <c r="I37" s="51"/>
      <c r="J37" s="51"/>
    </row>
    <row r="38" spans="1:10" ht="17.100000000000001" customHeight="1">
      <c r="A38" s="209" t="s">
        <v>133</v>
      </c>
      <c r="B38" s="15">
        <f>B27</f>
        <v>4147200000</v>
      </c>
      <c r="C38" s="15">
        <f>C27</f>
        <v>1296000000</v>
      </c>
      <c r="D38" s="209" t="s">
        <v>119</v>
      </c>
      <c r="G38" s="51"/>
      <c r="H38" s="51"/>
      <c r="I38" s="51"/>
      <c r="J38" s="51"/>
    </row>
    <row r="39" spans="1:10" ht="17.100000000000001" customHeight="1">
      <c r="A39" s="209" t="s">
        <v>210</v>
      </c>
      <c r="B39" s="200">
        <v>0.95</v>
      </c>
      <c r="C39" s="200">
        <v>0.95</v>
      </c>
      <c r="D39" s="209" t="s">
        <v>136</v>
      </c>
      <c r="F39" s="227"/>
      <c r="G39" s="51"/>
      <c r="H39" s="51"/>
      <c r="I39" s="51"/>
      <c r="J39" s="51"/>
    </row>
    <row r="40" spans="1:10" ht="17.100000000000001" customHeight="1">
      <c r="A40" s="209" t="s">
        <v>134</v>
      </c>
      <c r="B40" s="209">
        <f>B29</f>
        <v>300</v>
      </c>
      <c r="C40" s="209">
        <f>C29</f>
        <v>250</v>
      </c>
      <c r="D40" s="209"/>
      <c r="F40" s="227"/>
      <c r="G40" s="51"/>
      <c r="H40" s="51"/>
      <c r="I40" s="51"/>
      <c r="J40" s="51"/>
    </row>
    <row r="41" spans="1:10" ht="17.100000000000001" customHeight="1">
      <c r="A41" s="209" t="s">
        <v>208</v>
      </c>
      <c r="B41" s="200">
        <v>620</v>
      </c>
      <c r="C41" s="200">
        <v>550</v>
      </c>
      <c r="D41" s="209" t="s">
        <v>241</v>
      </c>
      <c r="F41" s="227"/>
      <c r="G41" s="51"/>
      <c r="H41" s="51"/>
      <c r="I41" s="51"/>
      <c r="J41" s="51"/>
    </row>
    <row r="42" spans="1:10" ht="17.100000000000001" customHeight="1">
      <c r="A42" s="209" t="s">
        <v>209</v>
      </c>
      <c r="B42" s="209">
        <f>B39*B41</f>
        <v>589</v>
      </c>
      <c r="C42" s="209">
        <f>C39*C41</f>
        <v>522.5</v>
      </c>
      <c r="D42" s="16" t="s">
        <v>188</v>
      </c>
      <c r="F42" s="227"/>
      <c r="G42" s="51"/>
      <c r="H42" s="51"/>
      <c r="I42" s="51"/>
      <c r="J42" s="51"/>
    </row>
    <row r="43" spans="1:10" ht="17.100000000000001" customHeight="1">
      <c r="A43" s="209" t="s">
        <v>207</v>
      </c>
      <c r="B43" s="829">
        <f>IF(B42&gt;C42,C42,B42)</f>
        <v>522.5</v>
      </c>
      <c r="C43" s="830"/>
      <c r="D43" s="209" t="s">
        <v>206</v>
      </c>
      <c r="F43" s="227"/>
      <c r="G43" s="51"/>
      <c r="H43" s="51"/>
      <c r="I43" s="51"/>
      <c r="J43" s="51"/>
    </row>
    <row r="44" spans="1:10" ht="17.100000000000001" customHeight="1">
      <c r="A44" s="838" t="s">
        <v>266</v>
      </c>
      <c r="B44" s="839"/>
      <c r="C44" s="200">
        <v>189.8</v>
      </c>
      <c r="D44" s="209" t="s">
        <v>242</v>
      </c>
      <c r="F44" s="227"/>
      <c r="G44" s="51"/>
      <c r="H44" s="51"/>
      <c r="I44" s="51"/>
      <c r="J44" s="51"/>
    </row>
    <row r="45" spans="1:10" ht="17.100000000000001" customHeight="1">
      <c r="A45" s="855" t="s">
        <v>337</v>
      </c>
      <c r="B45" s="855"/>
      <c r="C45" s="72">
        <f xml:space="preserve"> 0.0000023827 *C11^3 - 0.0004231831 *C11^2 + 0.0010962897 *C11 + 2.4969357485</f>
        <v>2.4358780455</v>
      </c>
      <c r="D45" s="209"/>
      <c r="F45" s="227"/>
      <c r="G45" s="51"/>
      <c r="H45" s="51"/>
      <c r="I45" s="51"/>
      <c r="J45" s="51"/>
    </row>
    <row r="46" spans="1:10" ht="17.100000000000001" customHeight="1">
      <c r="A46" s="835"/>
      <c r="B46" s="836"/>
      <c r="C46" s="837"/>
      <c r="D46" s="208"/>
      <c r="F46" s="227" t="s">
        <v>236</v>
      </c>
      <c r="G46" s="51"/>
      <c r="H46" s="51"/>
      <c r="I46" s="51"/>
      <c r="J46" s="51"/>
    </row>
    <row r="47" spans="1:10" ht="17.100000000000001" customHeight="1">
      <c r="A47" s="68" t="str">
        <f>IF(OR(C11="",C11=0),"直齿轮","斜齿轮")</f>
        <v>斜齿轮</v>
      </c>
      <c r="B47" s="69" t="s">
        <v>326</v>
      </c>
      <c r="C47" s="17">
        <f>IF(OR(C11=0,C11=""),2.32*(2*A7*D16/C8*(C9+1)/C9*(C44/B43)^2)^(1/3),(2*A7*D16/(C8*C14)*(C9+1)/C9*(C44*C45/B43)^2)^(1/3))</f>
        <v>62.309627959162661</v>
      </c>
      <c r="F47" s="25" t="s">
        <v>237</v>
      </c>
    </row>
    <row r="48" spans="1:10" ht="17.100000000000001" customHeight="1">
      <c r="F48" s="26" t="s">
        <v>102</v>
      </c>
      <c r="G48" s="26" t="s">
        <v>103</v>
      </c>
      <c r="H48" s="26" t="s">
        <v>104</v>
      </c>
      <c r="I48" s="26" t="s">
        <v>105</v>
      </c>
      <c r="J48" s="26" t="s">
        <v>108</v>
      </c>
    </row>
    <row r="49" spans="1:10" ht="17.100000000000001" customHeight="1">
      <c r="A49" s="831" t="s">
        <v>244</v>
      </c>
      <c r="B49" s="832"/>
      <c r="C49" s="832"/>
      <c r="D49" s="833"/>
      <c r="F49" s="26" t="s">
        <v>112</v>
      </c>
      <c r="G49" s="26" t="s">
        <v>106</v>
      </c>
      <c r="H49" s="26" t="s">
        <v>107</v>
      </c>
      <c r="I49" s="208">
        <v>0.5</v>
      </c>
      <c r="J49" s="26" t="s">
        <v>109</v>
      </c>
    </row>
    <row r="50" spans="1:10" ht="17.100000000000001" customHeight="1">
      <c r="A50" s="14" t="s">
        <v>160</v>
      </c>
      <c r="B50" s="209" t="s">
        <v>163</v>
      </c>
      <c r="C50" s="18">
        <f>1.15*C34</f>
        <v>2.0626657161384152</v>
      </c>
      <c r="D50" s="14" t="s">
        <v>161</v>
      </c>
      <c r="F50" s="26" t="s">
        <v>113</v>
      </c>
      <c r="G50" s="26" t="s">
        <v>129</v>
      </c>
      <c r="H50" s="26" t="s">
        <v>114</v>
      </c>
      <c r="I50" s="26"/>
      <c r="J50" s="26"/>
    </row>
    <row r="51" spans="1:10" ht="17.100000000000001" customHeight="1">
      <c r="A51" s="834" t="s">
        <v>162</v>
      </c>
      <c r="B51" s="209" t="s">
        <v>163</v>
      </c>
      <c r="C51" s="19">
        <f>C34</f>
        <v>1.7936223618594915</v>
      </c>
      <c r="D51" s="14"/>
    </row>
    <row r="52" spans="1:10" ht="17.100000000000001" customHeight="1">
      <c r="A52" s="834"/>
      <c r="B52" s="209" t="s">
        <v>164</v>
      </c>
      <c r="C52" s="19">
        <f>C47</f>
        <v>62.309627959162661</v>
      </c>
      <c r="D52" s="14"/>
      <c r="F52" s="25" t="s">
        <v>205</v>
      </c>
    </row>
    <row r="53" spans="1:10" ht="17.100000000000001" customHeight="1">
      <c r="A53" s="14" t="s">
        <v>245</v>
      </c>
      <c r="B53" s="209" t="s">
        <v>246</v>
      </c>
      <c r="C53" s="209" t="s">
        <v>247</v>
      </c>
      <c r="D53" s="14" t="s">
        <v>248</v>
      </c>
    </row>
    <row r="54" spans="1:10" ht="17.100000000000001" customHeight="1">
      <c r="A54" s="25"/>
      <c r="D54" s="25"/>
    </row>
    <row r="55" spans="1:10" ht="17.100000000000001" customHeight="1">
      <c r="A55" s="25" t="s">
        <v>194</v>
      </c>
      <c r="D55" s="25"/>
    </row>
    <row r="56" spans="1:10" ht="17.100000000000001" customHeight="1">
      <c r="A56" s="25"/>
      <c r="D56" s="25"/>
    </row>
    <row r="57" spans="1:10" ht="17.100000000000001" customHeight="1">
      <c r="A57" s="25"/>
      <c r="D57" s="25"/>
    </row>
    <row r="58" spans="1:10" ht="17.100000000000001" customHeight="1">
      <c r="A58" s="25"/>
      <c r="D58" s="25"/>
    </row>
    <row r="59" spans="1:10" ht="17.100000000000001" customHeight="1">
      <c r="A59" s="25"/>
      <c r="D59" s="25"/>
    </row>
    <row r="60" spans="1:10" ht="17.100000000000001" customHeight="1">
      <c r="A60" s="25"/>
      <c r="D60" s="25"/>
    </row>
    <row r="61" spans="1:10" ht="17.100000000000001" customHeight="1">
      <c r="A61" s="25"/>
      <c r="D61" s="25"/>
    </row>
    <row r="62" spans="1:10" ht="17.100000000000001" customHeight="1">
      <c r="A62" s="25"/>
      <c r="D62" s="25"/>
    </row>
    <row r="63" spans="1:10" ht="17.100000000000001" customHeight="1">
      <c r="A63" s="25"/>
      <c r="D63" s="25"/>
    </row>
    <row r="64" spans="1:10" ht="17.100000000000001" customHeight="1">
      <c r="A64" s="25"/>
      <c r="D64" s="25"/>
    </row>
    <row r="65" spans="1:6" ht="17.100000000000001" customHeight="1">
      <c r="A65" s="25"/>
      <c r="D65" s="25"/>
    </row>
    <row r="66" spans="1:6" ht="17.100000000000001" customHeight="1">
      <c r="A66" s="25"/>
      <c r="D66" s="25"/>
    </row>
    <row r="67" spans="1:6" ht="17.100000000000001" customHeight="1">
      <c r="A67" s="25"/>
      <c r="D67" s="25"/>
    </row>
    <row r="68" spans="1:6" ht="17.100000000000001" customHeight="1">
      <c r="A68" s="25"/>
      <c r="D68" s="25"/>
    </row>
    <row r="69" spans="1:6" ht="17.100000000000001" customHeight="1">
      <c r="A69" s="25"/>
      <c r="D69" s="25"/>
      <c r="F69" s="25" t="s">
        <v>192</v>
      </c>
    </row>
    <row r="70" spans="1:6" ht="17.100000000000001" customHeight="1">
      <c r="A70" s="25"/>
      <c r="D70" s="25"/>
    </row>
    <row r="71" spans="1:6" ht="17.100000000000001" customHeight="1">
      <c r="A71" s="25"/>
      <c r="D71" s="25"/>
    </row>
    <row r="72" spans="1:6" ht="17.100000000000001" customHeight="1">
      <c r="A72" s="25"/>
      <c r="D72" s="25"/>
    </row>
    <row r="73" spans="1:6" ht="17.100000000000001" customHeight="1">
      <c r="A73" s="25"/>
      <c r="D73" s="25"/>
    </row>
    <row r="74" spans="1:6" ht="17.100000000000001" customHeight="1">
      <c r="A74" s="25"/>
      <c r="D74" s="25"/>
    </row>
    <row r="75" spans="1:6" ht="17.100000000000001" customHeight="1">
      <c r="A75" s="25" t="s">
        <v>193</v>
      </c>
      <c r="D75" s="25"/>
    </row>
    <row r="76" spans="1:6" ht="17.100000000000001" customHeight="1">
      <c r="A76" s="25"/>
      <c r="D76" s="25"/>
    </row>
    <row r="77" spans="1:6" ht="17.100000000000001" customHeight="1">
      <c r="A77" s="25"/>
      <c r="D77" s="25"/>
    </row>
    <row r="78" spans="1:6" ht="17.100000000000001" customHeight="1">
      <c r="A78" s="25"/>
      <c r="D78" s="25"/>
    </row>
    <row r="79" spans="1:6" ht="17.100000000000001" customHeight="1">
      <c r="A79" s="25"/>
      <c r="D79" s="25"/>
    </row>
    <row r="80" spans="1:6" ht="17.100000000000001" customHeight="1">
      <c r="A80" s="25"/>
      <c r="D80" s="25"/>
    </row>
    <row r="81" spans="1:11" ht="17.100000000000001" customHeight="1">
      <c r="A81" s="25"/>
      <c r="D81" s="25"/>
    </row>
    <row r="82" spans="1:11" ht="17.100000000000001" customHeight="1">
      <c r="A82" s="25"/>
      <c r="D82" s="25"/>
    </row>
    <row r="83" spans="1:11" ht="17.100000000000001" customHeight="1">
      <c r="A83" s="25"/>
      <c r="D83" s="25"/>
    </row>
    <row r="84" spans="1:11" ht="17.100000000000001" customHeight="1">
      <c r="A84" s="25"/>
      <c r="D84" s="25"/>
    </row>
    <row r="85" spans="1:11" ht="17.100000000000001" customHeight="1">
      <c r="A85" s="25"/>
      <c r="D85" s="25"/>
    </row>
    <row r="86" spans="1:11" ht="17.100000000000001" customHeight="1">
      <c r="A86" s="25"/>
      <c r="D86" s="25"/>
    </row>
    <row r="87" spans="1:11" ht="17.100000000000001" customHeight="1">
      <c r="A87" s="25"/>
      <c r="D87" s="25"/>
    </row>
    <row r="88" spans="1:11" ht="17.100000000000001" customHeight="1">
      <c r="A88" s="25"/>
      <c r="D88" s="25"/>
    </row>
    <row r="89" spans="1:11" ht="17.100000000000001" customHeight="1">
      <c r="A89" s="25"/>
      <c r="D89" s="25"/>
    </row>
    <row r="90" spans="1:11" ht="17.100000000000001" customHeight="1">
      <c r="A90" s="25"/>
      <c r="D90" s="25"/>
    </row>
    <row r="91" spans="1:11" ht="17.100000000000001" customHeight="1">
      <c r="A91" s="25"/>
      <c r="D91" s="25"/>
    </row>
    <row r="92" spans="1:11" ht="17.100000000000001" customHeight="1">
      <c r="A92" s="25"/>
      <c r="D92" s="25"/>
    </row>
    <row r="93" spans="1:11" ht="17.100000000000001" customHeight="1">
      <c r="A93" s="25"/>
      <c r="D93" s="25"/>
    </row>
    <row r="94" spans="1:11" ht="17.100000000000001" customHeight="1">
      <c r="A94" s="25"/>
      <c r="D94" s="25"/>
      <c r="F94" s="25" t="s">
        <v>240</v>
      </c>
    </row>
    <row r="95" spans="1:11" ht="17.100000000000001" customHeight="1" thickBot="1">
      <c r="F95" s="827" t="s">
        <v>144</v>
      </c>
      <c r="G95" s="824" t="s">
        <v>145</v>
      </c>
      <c r="H95" s="824"/>
      <c r="I95" s="824"/>
      <c r="J95" s="824"/>
      <c r="K95" s="824"/>
    </row>
    <row r="96" spans="1:11" ht="17.100000000000001" customHeight="1">
      <c r="A96" s="840" t="s">
        <v>249</v>
      </c>
      <c r="B96" s="841"/>
      <c r="C96" s="841"/>
      <c r="D96" s="842"/>
      <c r="F96" s="828"/>
      <c r="G96" s="26" t="s">
        <v>146</v>
      </c>
      <c r="H96" s="26" t="s">
        <v>147</v>
      </c>
      <c r="I96" s="26" t="s">
        <v>148</v>
      </c>
      <c r="J96" s="26" t="s">
        <v>149</v>
      </c>
      <c r="K96" s="26" t="s">
        <v>150</v>
      </c>
    </row>
    <row r="97" spans="1:11" ht="17.100000000000001" customHeight="1">
      <c r="A97" s="785"/>
      <c r="B97" s="786"/>
      <c r="C97" s="786"/>
      <c r="D97" s="787"/>
      <c r="F97" s="828"/>
      <c r="G97" s="26" t="s">
        <v>151</v>
      </c>
      <c r="H97" s="26" t="s">
        <v>152</v>
      </c>
      <c r="I97" s="26" t="s">
        <v>153</v>
      </c>
      <c r="J97" s="26" t="s">
        <v>154</v>
      </c>
      <c r="K97" s="26" t="s">
        <v>155</v>
      </c>
    </row>
    <row r="98" spans="1:11" ht="17.100000000000001" customHeight="1">
      <c r="A98" s="785"/>
      <c r="B98" s="786"/>
      <c r="C98" s="786"/>
      <c r="D98" s="787"/>
      <c r="F98" s="26" t="s">
        <v>156</v>
      </c>
      <c r="G98" s="26">
        <v>162</v>
      </c>
      <c r="H98" s="26">
        <v>181.4</v>
      </c>
      <c r="I98" s="26">
        <v>188.9</v>
      </c>
      <c r="J98" s="26">
        <v>189.8</v>
      </c>
      <c r="K98" s="26">
        <v>56.4</v>
      </c>
    </row>
    <row r="99" spans="1:11" ht="17.100000000000001" customHeight="1">
      <c r="A99" s="785"/>
      <c r="B99" s="786"/>
      <c r="C99" s="786"/>
      <c r="D99" s="787"/>
      <c r="F99" s="26" t="s">
        <v>157</v>
      </c>
      <c r="G99" s="26">
        <v>161.4</v>
      </c>
      <c r="H99" s="26">
        <v>180.5</v>
      </c>
      <c r="I99" s="26">
        <v>188</v>
      </c>
      <c r="J99" s="29"/>
      <c r="K99" s="29"/>
    </row>
    <row r="100" spans="1:11" ht="17.100000000000001" customHeight="1">
      <c r="A100" s="785"/>
      <c r="B100" s="786"/>
      <c r="C100" s="786"/>
      <c r="D100" s="787"/>
      <c r="F100" s="26" t="s">
        <v>147</v>
      </c>
      <c r="G100" s="26">
        <v>156.6</v>
      </c>
      <c r="H100" s="26">
        <v>173.9</v>
      </c>
      <c r="I100" s="29"/>
      <c r="J100" s="29"/>
      <c r="K100" s="29"/>
    </row>
    <row r="101" spans="1:11" ht="17.100000000000001" customHeight="1">
      <c r="A101" s="785"/>
      <c r="B101" s="786"/>
      <c r="C101" s="786"/>
      <c r="D101" s="787"/>
      <c r="F101" s="26" t="s">
        <v>146</v>
      </c>
      <c r="G101" s="26">
        <v>143.69999999999999</v>
      </c>
      <c r="H101" s="29"/>
      <c r="I101" s="29"/>
      <c r="J101" s="29"/>
      <c r="K101" s="29"/>
    </row>
    <row r="102" spans="1:11" ht="17.100000000000001" customHeight="1">
      <c r="A102" s="785"/>
      <c r="B102" s="786"/>
      <c r="C102" s="786"/>
      <c r="D102" s="787"/>
      <c r="F102" s="25" t="s">
        <v>158</v>
      </c>
    </row>
    <row r="103" spans="1:11" ht="17.100000000000001" customHeight="1">
      <c r="A103" s="785"/>
      <c r="B103" s="786"/>
      <c r="C103" s="786"/>
      <c r="D103" s="787"/>
    </row>
    <row r="104" spans="1:11" ht="17.100000000000001" customHeight="1">
      <c r="A104" s="785"/>
      <c r="B104" s="786"/>
      <c r="C104" s="786"/>
      <c r="D104" s="787"/>
    </row>
    <row r="105" spans="1:11" ht="17.100000000000001" customHeight="1">
      <c r="A105" s="785"/>
      <c r="B105" s="786"/>
      <c r="C105" s="786"/>
      <c r="D105" s="787"/>
    </row>
    <row r="106" spans="1:11" ht="17.100000000000001" customHeight="1">
      <c r="A106" s="785"/>
      <c r="B106" s="786"/>
      <c r="C106" s="786"/>
      <c r="D106" s="787"/>
    </row>
    <row r="107" spans="1:11" ht="17.100000000000001" customHeight="1">
      <c r="A107" s="785"/>
      <c r="B107" s="786"/>
      <c r="C107" s="786"/>
      <c r="D107" s="787"/>
    </row>
    <row r="108" spans="1:11" ht="17.100000000000001" customHeight="1">
      <c r="A108" s="785"/>
      <c r="B108" s="786"/>
      <c r="C108" s="786"/>
      <c r="D108" s="787"/>
    </row>
    <row r="109" spans="1:11" ht="17.100000000000001" customHeight="1">
      <c r="A109" s="785"/>
      <c r="B109" s="786"/>
      <c r="C109" s="786"/>
      <c r="D109" s="787"/>
    </row>
    <row r="110" spans="1:11" ht="17.100000000000001" customHeight="1" thickBot="1">
      <c r="A110" s="788"/>
      <c r="B110" s="789"/>
      <c r="C110" s="789"/>
      <c r="D110" s="790"/>
    </row>
    <row r="111" spans="1:11" ht="17.100000000000001" customHeight="1">
      <c r="A111" s="840" t="s">
        <v>1737</v>
      </c>
      <c r="B111" s="841"/>
      <c r="C111" s="841"/>
      <c r="D111" s="842"/>
    </row>
    <row r="112" spans="1:11" ht="17.100000000000001" customHeight="1">
      <c r="A112" s="785"/>
      <c r="B112" s="786"/>
      <c r="C112" s="786"/>
      <c r="D112" s="787"/>
    </row>
    <row r="113" spans="1:13" ht="17.100000000000001" customHeight="1">
      <c r="A113" s="785"/>
      <c r="B113" s="786"/>
      <c r="C113" s="786"/>
      <c r="D113" s="787"/>
    </row>
    <row r="114" spans="1:13" ht="17.100000000000001" customHeight="1">
      <c r="A114" s="785"/>
      <c r="B114" s="786"/>
      <c r="C114" s="786"/>
      <c r="D114" s="787"/>
    </row>
    <row r="115" spans="1:13" ht="17.100000000000001" customHeight="1">
      <c r="A115" s="785"/>
      <c r="B115" s="786"/>
      <c r="C115" s="786"/>
      <c r="D115" s="787"/>
    </row>
    <row r="116" spans="1:13" ht="17.100000000000001" customHeight="1">
      <c r="A116" s="785"/>
      <c r="B116" s="786"/>
      <c r="C116" s="786"/>
      <c r="D116" s="787"/>
    </row>
    <row r="117" spans="1:13" ht="17.100000000000001" customHeight="1">
      <c r="A117" s="785"/>
      <c r="B117" s="786"/>
      <c r="C117" s="786"/>
      <c r="D117" s="787"/>
    </row>
    <row r="118" spans="1:13" ht="17.100000000000001" customHeight="1">
      <c r="A118" s="785"/>
      <c r="B118" s="786"/>
      <c r="C118" s="786"/>
      <c r="D118" s="787"/>
    </row>
    <row r="119" spans="1:13" ht="17.100000000000001" customHeight="1" thickBot="1">
      <c r="A119" s="788"/>
      <c r="B119" s="789"/>
      <c r="C119" s="789"/>
      <c r="D119" s="790"/>
    </row>
    <row r="120" spans="1:13" ht="17.100000000000001" customHeight="1">
      <c r="A120" s="57" t="s">
        <v>250</v>
      </c>
      <c r="B120" s="58"/>
      <c r="C120" s="58"/>
      <c r="D120" s="58"/>
      <c r="E120" s="59"/>
      <c r="F120" s="59"/>
      <c r="G120" s="59"/>
      <c r="H120" s="59"/>
      <c r="I120" s="59"/>
      <c r="J120" s="59"/>
      <c r="K120" s="59"/>
      <c r="L120" s="59"/>
      <c r="M120" s="59"/>
    </row>
    <row r="121" spans="1:13" ht="17.100000000000001" customHeight="1" thickBot="1">
      <c r="A121" s="25" t="s">
        <v>269</v>
      </c>
      <c r="D121" s="25"/>
    </row>
    <row r="122" spans="1:13" ht="17.100000000000001" customHeight="1">
      <c r="A122" s="33" t="s">
        <v>167</v>
      </c>
      <c r="B122" s="41" t="s">
        <v>168</v>
      </c>
      <c r="C122" s="62" t="s">
        <v>167</v>
      </c>
      <c r="D122" s="30" t="s">
        <v>168</v>
      </c>
    </row>
    <row r="123" spans="1:13" ht="17.100000000000001" customHeight="1">
      <c r="A123" s="34" t="s">
        <v>169</v>
      </c>
      <c r="B123" s="43" t="s">
        <v>179</v>
      </c>
      <c r="C123" s="63" t="s">
        <v>174</v>
      </c>
      <c r="D123" s="31" t="s">
        <v>184</v>
      </c>
    </row>
    <row r="124" spans="1:13" ht="17.100000000000001" customHeight="1">
      <c r="A124" s="34" t="s">
        <v>170</v>
      </c>
      <c r="B124" s="43" t="s">
        <v>180</v>
      </c>
      <c r="C124" s="63" t="s">
        <v>175</v>
      </c>
      <c r="D124" s="31" t="s">
        <v>184</v>
      </c>
    </row>
    <row r="125" spans="1:13" ht="17.100000000000001" customHeight="1">
      <c r="A125" s="34" t="s">
        <v>171</v>
      </c>
      <c r="B125" s="43" t="s">
        <v>181</v>
      </c>
      <c r="C125" s="63" t="s">
        <v>176</v>
      </c>
      <c r="D125" s="31" t="s">
        <v>185</v>
      </c>
    </row>
    <row r="126" spans="1:13" ht="17.100000000000001" customHeight="1">
      <c r="A126" s="34" t="s">
        <v>172</v>
      </c>
      <c r="B126" s="43" t="s">
        <v>182</v>
      </c>
      <c r="C126" s="63" t="s">
        <v>177</v>
      </c>
      <c r="D126" s="31" t="s">
        <v>186</v>
      </c>
    </row>
    <row r="127" spans="1:13" ht="17.100000000000001" customHeight="1" thickBot="1">
      <c r="A127" s="35" t="s">
        <v>173</v>
      </c>
      <c r="B127" s="46" t="s">
        <v>183</v>
      </c>
      <c r="C127" s="64" t="s">
        <v>178</v>
      </c>
      <c r="D127" s="32" t="s">
        <v>187</v>
      </c>
    </row>
    <row r="128" spans="1:13" ht="17.100000000000001" customHeight="1">
      <c r="A128" s="229"/>
      <c r="B128" s="230"/>
      <c r="C128" s="230"/>
      <c r="D128" s="229"/>
    </row>
    <row r="129" spans="1:4" ht="17.100000000000001" customHeight="1">
      <c r="A129" s="229"/>
      <c r="B129" s="230"/>
      <c r="C129" s="230"/>
      <c r="D129" s="229"/>
    </row>
    <row r="164" spans="1:6" ht="17.100000000000001" customHeight="1" thickBot="1">
      <c r="A164" s="25" t="s">
        <v>270</v>
      </c>
      <c r="D164" s="25"/>
    </row>
    <row r="165" spans="1:6" ht="17.100000000000001" customHeight="1">
      <c r="A165" s="39" t="s">
        <v>239</v>
      </c>
      <c r="B165" s="40" t="s">
        <v>202</v>
      </c>
      <c r="C165" s="41" t="s">
        <v>203</v>
      </c>
      <c r="D165" s="39" t="s">
        <v>110</v>
      </c>
      <c r="E165" s="40" t="s">
        <v>202</v>
      </c>
      <c r="F165" s="41" t="s">
        <v>203</v>
      </c>
    </row>
    <row r="166" spans="1:6" ht="17.100000000000001" customHeight="1">
      <c r="A166" s="42">
        <v>17</v>
      </c>
      <c r="B166" s="53">
        <v>2.97</v>
      </c>
      <c r="C166" s="54">
        <v>1.52</v>
      </c>
      <c r="D166" s="42">
        <v>30</v>
      </c>
      <c r="E166" s="208">
        <v>2.52</v>
      </c>
      <c r="F166" s="43">
        <v>1.625</v>
      </c>
    </row>
    <row r="167" spans="1:6" ht="17.100000000000001" customHeight="1">
      <c r="A167" s="42">
        <v>18</v>
      </c>
      <c r="B167" s="53">
        <v>2.91</v>
      </c>
      <c r="C167" s="54">
        <v>1.53</v>
      </c>
      <c r="D167" s="42">
        <v>35</v>
      </c>
      <c r="E167" s="208">
        <v>2.4500000000000002</v>
      </c>
      <c r="F167" s="43">
        <v>1.65</v>
      </c>
    </row>
    <row r="168" spans="1:6" ht="17.100000000000001" customHeight="1">
      <c r="A168" s="42">
        <v>19</v>
      </c>
      <c r="B168" s="53">
        <v>2.85</v>
      </c>
      <c r="C168" s="54">
        <v>1.54</v>
      </c>
      <c r="D168" s="42">
        <v>40</v>
      </c>
      <c r="E168" s="208">
        <v>2.4</v>
      </c>
      <c r="F168" s="43">
        <v>1.67</v>
      </c>
    </row>
    <row r="169" spans="1:6" ht="17.100000000000001" customHeight="1">
      <c r="A169" s="42">
        <v>20</v>
      </c>
      <c r="B169" s="53">
        <v>2.8</v>
      </c>
      <c r="C169" s="54">
        <v>1.55</v>
      </c>
      <c r="D169" s="42">
        <v>45</v>
      </c>
      <c r="E169" s="208">
        <v>2.35</v>
      </c>
      <c r="F169" s="43">
        <v>1.68</v>
      </c>
    </row>
    <row r="170" spans="1:6" ht="17.100000000000001" customHeight="1">
      <c r="A170" s="42">
        <v>21</v>
      </c>
      <c r="B170" s="53">
        <v>2.76</v>
      </c>
      <c r="C170" s="54">
        <v>1.56</v>
      </c>
      <c r="D170" s="42">
        <v>50</v>
      </c>
      <c r="E170" s="208">
        <v>2.3199999999999998</v>
      </c>
      <c r="F170" s="43">
        <v>1.7</v>
      </c>
    </row>
    <row r="171" spans="1:6" ht="17.100000000000001" customHeight="1">
      <c r="A171" s="42">
        <v>22</v>
      </c>
      <c r="B171" s="53">
        <v>2.72</v>
      </c>
      <c r="C171" s="54">
        <v>1.57</v>
      </c>
      <c r="D171" s="42">
        <v>60</v>
      </c>
      <c r="E171" s="208">
        <v>2.2799999999999998</v>
      </c>
      <c r="F171" s="43">
        <v>1.73</v>
      </c>
    </row>
    <row r="172" spans="1:6" ht="17.100000000000001" customHeight="1">
      <c r="A172" s="42">
        <v>23</v>
      </c>
      <c r="B172" s="53">
        <v>2.69</v>
      </c>
      <c r="C172" s="54">
        <v>1.575</v>
      </c>
      <c r="D172" s="42">
        <v>70</v>
      </c>
      <c r="E172" s="208">
        <v>2.2400000000000002</v>
      </c>
      <c r="F172" s="43">
        <v>1.75</v>
      </c>
    </row>
    <row r="173" spans="1:6" ht="17.100000000000001" customHeight="1">
      <c r="A173" s="42">
        <v>24</v>
      </c>
      <c r="B173" s="53">
        <v>2.65</v>
      </c>
      <c r="C173" s="54">
        <v>1.58</v>
      </c>
      <c r="D173" s="42">
        <v>80</v>
      </c>
      <c r="E173" s="208">
        <v>2.2200000000000002</v>
      </c>
      <c r="F173" s="43">
        <v>1.77</v>
      </c>
    </row>
    <row r="174" spans="1:6" ht="17.100000000000001" customHeight="1">
      <c r="A174" s="42">
        <v>25</v>
      </c>
      <c r="B174" s="53">
        <v>2.62</v>
      </c>
      <c r="C174" s="54">
        <v>1.59</v>
      </c>
      <c r="D174" s="42">
        <v>90</v>
      </c>
      <c r="E174" s="208">
        <v>2.2000000000000002</v>
      </c>
      <c r="F174" s="43">
        <v>1.78</v>
      </c>
    </row>
    <row r="175" spans="1:6" ht="17.100000000000001" customHeight="1">
      <c r="A175" s="42">
        <v>26</v>
      </c>
      <c r="B175" s="53">
        <v>2.6</v>
      </c>
      <c r="C175" s="54">
        <v>1.595</v>
      </c>
      <c r="D175" s="42">
        <v>100</v>
      </c>
      <c r="E175" s="208">
        <v>2.1800000000000002</v>
      </c>
      <c r="F175" s="43">
        <v>1.79</v>
      </c>
    </row>
    <row r="176" spans="1:6" ht="17.100000000000001" customHeight="1">
      <c r="A176" s="42">
        <v>27</v>
      </c>
      <c r="B176" s="53">
        <v>2.57</v>
      </c>
      <c r="C176" s="54">
        <v>1.6</v>
      </c>
      <c r="D176" s="42">
        <v>150</v>
      </c>
      <c r="E176" s="208">
        <v>2.14</v>
      </c>
      <c r="F176" s="43">
        <v>1.83</v>
      </c>
    </row>
    <row r="177" spans="1:6" ht="17.100000000000001" customHeight="1">
      <c r="A177" s="42">
        <v>28</v>
      </c>
      <c r="B177" s="53">
        <v>2.5499999999999998</v>
      </c>
      <c r="C177" s="54">
        <v>1.61</v>
      </c>
      <c r="D177" s="42">
        <v>200</v>
      </c>
      <c r="E177" s="208">
        <v>2.12</v>
      </c>
      <c r="F177" s="43">
        <v>1.865</v>
      </c>
    </row>
    <row r="178" spans="1:6" ht="17.100000000000001" customHeight="1" thickBot="1">
      <c r="A178" s="44">
        <v>29</v>
      </c>
      <c r="B178" s="55">
        <v>2.5299999999999998</v>
      </c>
      <c r="C178" s="56">
        <v>1.62</v>
      </c>
      <c r="D178" s="44" t="s">
        <v>111</v>
      </c>
      <c r="E178" s="45">
        <v>2.06</v>
      </c>
      <c r="F178" s="46">
        <v>1.97</v>
      </c>
    </row>
    <row r="179" spans="1:6" ht="17.100000000000001" customHeight="1">
      <c r="A179" s="25" t="s">
        <v>204</v>
      </c>
      <c r="D179" s="25"/>
    </row>
    <row r="180" spans="1:6" ht="17.100000000000001" customHeight="1">
      <c r="E180" s="29"/>
      <c r="F180" s="29"/>
    </row>
    <row r="181" spans="1:6" ht="17.100000000000001" customHeight="1">
      <c r="A181" s="24" t="s">
        <v>271</v>
      </c>
      <c r="E181" s="29"/>
      <c r="F181" s="51"/>
    </row>
    <row r="182" spans="1:6" ht="17.100000000000001" customHeight="1">
      <c r="A182" s="208" t="s">
        <v>284</v>
      </c>
      <c r="B182" s="208" t="s">
        <v>285</v>
      </c>
      <c r="C182" s="826" t="s">
        <v>286</v>
      </c>
      <c r="D182" s="826"/>
      <c r="E182" s="835" t="s">
        <v>287</v>
      </c>
      <c r="F182" s="837"/>
    </row>
    <row r="183" spans="1:6" ht="51" customHeight="1">
      <c r="A183" s="825" t="s">
        <v>291</v>
      </c>
      <c r="B183" s="208" t="s">
        <v>276</v>
      </c>
      <c r="C183" s="824"/>
      <c r="D183" s="824"/>
      <c r="E183" s="818" t="s">
        <v>274</v>
      </c>
      <c r="F183" s="819"/>
    </row>
    <row r="184" spans="1:6" ht="50.1" customHeight="1">
      <c r="A184" s="825"/>
      <c r="B184" s="208" t="s">
        <v>277</v>
      </c>
      <c r="C184" s="824"/>
      <c r="D184" s="824"/>
      <c r="E184" s="818" t="s">
        <v>275</v>
      </c>
      <c r="F184" s="819"/>
    </row>
    <row r="185" spans="1:6" ht="27" customHeight="1">
      <c r="A185" s="825"/>
      <c r="B185" s="208" t="s">
        <v>282</v>
      </c>
      <c r="C185" s="826" t="s">
        <v>280</v>
      </c>
      <c r="D185" s="826"/>
      <c r="E185" s="818" t="s">
        <v>278</v>
      </c>
      <c r="F185" s="819"/>
    </row>
    <row r="186" spans="1:6" ht="26.25" customHeight="1">
      <c r="A186" s="825"/>
      <c r="B186" s="208" t="s">
        <v>283</v>
      </c>
      <c r="C186" s="826" t="s">
        <v>281</v>
      </c>
      <c r="D186" s="826"/>
      <c r="E186" s="818" t="s">
        <v>279</v>
      </c>
      <c r="F186" s="819"/>
    </row>
    <row r="187" spans="1:6" ht="51.75" customHeight="1">
      <c r="A187" s="825" t="s">
        <v>292</v>
      </c>
      <c r="B187" s="208" t="s">
        <v>276</v>
      </c>
      <c r="C187" s="824"/>
      <c r="D187" s="824"/>
      <c r="E187" s="822" t="s">
        <v>290</v>
      </c>
      <c r="F187" s="823"/>
    </row>
    <row r="188" spans="1:6" ht="57" customHeight="1">
      <c r="A188" s="825"/>
      <c r="B188" s="208" t="s">
        <v>277</v>
      </c>
      <c r="C188" s="824"/>
      <c r="D188" s="824"/>
      <c r="E188" s="818"/>
      <c r="F188" s="819"/>
    </row>
    <row r="189" spans="1:6" ht="54" customHeight="1">
      <c r="A189" s="825"/>
      <c r="B189" s="208" t="s">
        <v>289</v>
      </c>
      <c r="C189" s="824"/>
      <c r="D189" s="824"/>
      <c r="E189" s="818"/>
      <c r="F189" s="819"/>
    </row>
    <row r="190" spans="1:6" ht="54.95" customHeight="1">
      <c r="A190" s="825"/>
      <c r="B190" s="208" t="s">
        <v>293</v>
      </c>
      <c r="C190" s="824"/>
      <c r="D190" s="824"/>
      <c r="E190" s="820" t="s">
        <v>295</v>
      </c>
      <c r="F190" s="821"/>
    </row>
    <row r="191" spans="1:6" ht="50.1" customHeight="1"/>
  </sheetData>
  <sheetProtection password="828E" sheet="1" objects="1" scenarios="1"/>
  <mergeCells count="50">
    <mergeCell ref="A1:D1"/>
    <mergeCell ref="E182:F182"/>
    <mergeCell ref="A2:D2"/>
    <mergeCell ref="A4:A6"/>
    <mergeCell ref="A3:B3"/>
    <mergeCell ref="A15:A16"/>
    <mergeCell ref="B25:C25"/>
    <mergeCell ref="A9:B9"/>
    <mergeCell ref="A17:D17"/>
    <mergeCell ref="A13:B13"/>
    <mergeCell ref="A14:B14"/>
    <mergeCell ref="A10:B10"/>
    <mergeCell ref="C182:D182"/>
    <mergeCell ref="A111:D119"/>
    <mergeCell ref="A33:C33"/>
    <mergeCell ref="A45:B45"/>
    <mergeCell ref="G3:J3"/>
    <mergeCell ref="F95:F97"/>
    <mergeCell ref="G95:K95"/>
    <mergeCell ref="B43:C43"/>
    <mergeCell ref="A49:D49"/>
    <mergeCell ref="A51:A52"/>
    <mergeCell ref="A46:C46"/>
    <mergeCell ref="A44:B44"/>
    <mergeCell ref="A96:D110"/>
    <mergeCell ref="F26:F28"/>
    <mergeCell ref="F11:F12"/>
    <mergeCell ref="F3:F4"/>
    <mergeCell ref="A11:B11"/>
    <mergeCell ref="A12:B12"/>
    <mergeCell ref="A36:D36"/>
    <mergeCell ref="A35:C35"/>
    <mergeCell ref="C183:D183"/>
    <mergeCell ref="C184:D184"/>
    <mergeCell ref="A183:A186"/>
    <mergeCell ref="C185:D185"/>
    <mergeCell ref="C186:D186"/>
    <mergeCell ref="C187:D187"/>
    <mergeCell ref="C188:D188"/>
    <mergeCell ref="C189:D189"/>
    <mergeCell ref="C190:D190"/>
    <mergeCell ref="A187:A190"/>
    <mergeCell ref="E188:F188"/>
    <mergeCell ref="E189:F189"/>
    <mergeCell ref="E190:F190"/>
    <mergeCell ref="E183:F183"/>
    <mergeCell ref="E184:F184"/>
    <mergeCell ref="E185:F185"/>
    <mergeCell ref="E186:F186"/>
    <mergeCell ref="E187:F187"/>
  </mergeCells>
  <phoneticPr fontId="4" type="noConversion"/>
  <dataValidations count="2">
    <dataValidation type="list" allowBlank="1" showInputMessage="1" showErrorMessage="1" prompt="选择精度" sqref="D5">
      <formula1>$G$11:$J$11</formula1>
    </dataValidation>
    <dataValidation type="list" imeMode="on" allowBlank="1" showInputMessage="1" showErrorMessage="1" prompt="选择条件" sqref="D6">
      <formula1>$G$26:$J$26</formula1>
    </dataValidation>
  </dataValidations>
  <pageMargins left="0.7" right="0.7" top="0.75" bottom="0.75" header="0.3" footer="0.3"/>
  <pageSetup paperSize="9" orientation="portrait" r:id="rId1"/>
  <drawing r:id="rId2"/>
  <legacyDrawing r:id="rId3"/>
  <oleObjects>
    <oleObject progId="Equations" shapeId="1053" r:id="rId4"/>
    <oleObject progId="Equations" shapeId="1069" r:id="rId5"/>
    <oleObject progId="Equations" shapeId="1087" r:id="rId6"/>
    <oleObject progId="Equations" shapeId="1089" r:id="rId7"/>
    <oleObject progId="Equations" shapeId="1090" r:id="rId8"/>
    <oleObject progId="Equations" shapeId="1091" r:id="rId9"/>
    <oleObject progId="Equations" shapeId="1093" r:id="rId10"/>
    <oleObject progId="Equations" shapeId="1096" r:id="rId11"/>
    <oleObject progId="Equations" shapeId="1097" r:id="rId12"/>
    <oleObject progId="Equations" shapeId="1098" r:id="rId13"/>
    <oleObject progId="Equations" shapeId="1099" r:id="rId14"/>
  </oleObjects>
</worksheet>
</file>

<file path=xl/worksheets/sheet5.xml><?xml version="1.0" encoding="utf-8"?>
<worksheet xmlns="http://schemas.openxmlformats.org/spreadsheetml/2006/main" xmlns:r="http://schemas.openxmlformats.org/officeDocument/2006/relationships">
  <sheetPr codeName="Sheet3"/>
  <dimension ref="A1:K192"/>
  <sheetViews>
    <sheetView workbookViewId="0">
      <selection activeCell="E4" sqref="E4"/>
    </sheetView>
  </sheetViews>
  <sheetFormatPr defaultRowHeight="17.100000000000001" customHeight="1"/>
  <cols>
    <col min="1" max="4" width="15.625" style="24" customWidth="1"/>
    <col min="5" max="5" width="5.75" style="25" customWidth="1"/>
    <col min="6" max="6" width="14.375" style="25" customWidth="1"/>
    <col min="7" max="7" width="14" style="25" customWidth="1"/>
    <col min="8" max="11" width="13.625" style="25" customWidth="1"/>
    <col min="12" max="14" width="9" style="25" customWidth="1"/>
    <col min="15" max="16384" width="9" style="25"/>
  </cols>
  <sheetData>
    <row r="1" spans="1:10" ht="21.95" customHeight="1">
      <c r="A1" s="850" t="s">
        <v>299</v>
      </c>
      <c r="B1" s="850"/>
      <c r="C1" s="850"/>
      <c r="D1" s="850"/>
      <c r="E1" s="226"/>
    </row>
    <row r="2" spans="1:10" ht="17.100000000000001" customHeight="1">
      <c r="A2" s="831" t="s">
        <v>272</v>
      </c>
      <c r="B2" s="851"/>
      <c r="C2" s="851"/>
      <c r="D2" s="852"/>
      <c r="F2" s="25" t="s">
        <v>200</v>
      </c>
      <c r="G2" s="37"/>
    </row>
    <row r="3" spans="1:10" ht="17.100000000000001" customHeight="1">
      <c r="A3" s="855" t="s">
        <v>116</v>
      </c>
      <c r="B3" s="855"/>
      <c r="C3" s="209" t="s">
        <v>117</v>
      </c>
      <c r="D3" s="209" t="s">
        <v>15</v>
      </c>
      <c r="F3" s="847" t="s">
        <v>219</v>
      </c>
      <c r="G3" s="824" t="s">
        <v>218</v>
      </c>
      <c r="H3" s="824"/>
      <c r="I3" s="824"/>
      <c r="J3" s="824"/>
    </row>
    <row r="4" spans="1:10" ht="17.100000000000001" customHeight="1">
      <c r="A4" s="853" t="s">
        <v>300</v>
      </c>
      <c r="B4" s="209" t="s">
        <v>198</v>
      </c>
      <c r="C4" s="199">
        <v>1</v>
      </c>
      <c r="D4" s="209" t="s">
        <v>137</v>
      </c>
      <c r="F4" s="847"/>
      <c r="G4" s="36" t="s">
        <v>229</v>
      </c>
      <c r="H4" s="203" t="s">
        <v>224</v>
      </c>
      <c r="I4" s="203" t="s">
        <v>225</v>
      </c>
      <c r="J4" s="203" t="s">
        <v>226</v>
      </c>
    </row>
    <row r="5" spans="1:10" ht="17.100000000000001" customHeight="1">
      <c r="A5" s="854"/>
      <c r="B5" s="209" t="s">
        <v>199</v>
      </c>
      <c r="C5" s="61" t="str">
        <f>IF(D5=G11,"1.1",IF(D5=H11,"1.2",IF(D5=I11,"1.3",IF(D5=J11,"1.4","请在右侧在选择"))))</f>
        <v>1.3</v>
      </c>
      <c r="D5" s="231" t="s">
        <v>302</v>
      </c>
      <c r="F5" s="203" t="s">
        <v>220</v>
      </c>
      <c r="G5" s="38" t="s">
        <v>227</v>
      </c>
      <c r="H5" s="208">
        <v>1.1000000000000001</v>
      </c>
      <c r="I5" s="208">
        <v>1.25</v>
      </c>
      <c r="J5" s="208">
        <v>1.5</v>
      </c>
    </row>
    <row r="6" spans="1:10" ht="17.100000000000001" customHeight="1">
      <c r="A6" s="854"/>
      <c r="B6" s="209" t="s">
        <v>196</v>
      </c>
      <c r="C6" s="61">
        <v>1</v>
      </c>
      <c r="D6" s="234" t="s">
        <v>301</v>
      </c>
      <c r="F6" s="203" t="s">
        <v>221</v>
      </c>
      <c r="G6" s="38" t="s">
        <v>230</v>
      </c>
      <c r="H6" s="208">
        <v>1.35</v>
      </c>
      <c r="I6" s="208">
        <v>1.5</v>
      </c>
      <c r="J6" s="208">
        <v>1.75</v>
      </c>
    </row>
    <row r="7" spans="1:10" ht="17.100000000000001" customHeight="1">
      <c r="A7" s="21">
        <f>C4*C5*C6*C7</f>
        <v>1.4300000000000002</v>
      </c>
      <c r="B7" s="209" t="s">
        <v>197</v>
      </c>
      <c r="C7" s="73">
        <v>1.1000000000000001</v>
      </c>
      <c r="D7" s="209" t="s">
        <v>310</v>
      </c>
      <c r="F7" s="203" t="s">
        <v>222</v>
      </c>
      <c r="G7" s="38" t="s">
        <v>231</v>
      </c>
      <c r="H7" s="208">
        <v>1.4</v>
      </c>
      <c r="I7" s="208">
        <v>1.75</v>
      </c>
      <c r="J7" s="208">
        <v>2</v>
      </c>
    </row>
    <row r="8" spans="1:10" ht="17.100000000000001" customHeight="1">
      <c r="A8" s="22" t="s">
        <v>311</v>
      </c>
      <c r="B8" s="16" t="s">
        <v>312</v>
      </c>
      <c r="C8" s="78">
        <f>1/3</f>
        <v>0.33333333333333331</v>
      </c>
      <c r="D8" s="209" t="s">
        <v>313</v>
      </c>
      <c r="F8" s="203" t="s">
        <v>223</v>
      </c>
      <c r="G8" s="38" t="s">
        <v>232</v>
      </c>
      <c r="H8" s="208">
        <v>1.85</v>
      </c>
      <c r="I8" s="208">
        <v>2</v>
      </c>
      <c r="J8" s="208" t="s">
        <v>228</v>
      </c>
    </row>
    <row r="9" spans="1:10" ht="17.100000000000001" customHeight="1">
      <c r="A9" s="855" t="s">
        <v>159</v>
      </c>
      <c r="B9" s="855"/>
      <c r="C9" s="199">
        <v>2</v>
      </c>
      <c r="D9" s="209"/>
    </row>
    <row r="10" spans="1:10" ht="17.100000000000001" customHeight="1">
      <c r="A10" s="856" t="s">
        <v>135</v>
      </c>
      <c r="B10" s="204" t="s">
        <v>166</v>
      </c>
      <c r="C10" s="199">
        <v>1</v>
      </c>
      <c r="D10" s="209"/>
      <c r="F10" s="25" t="s">
        <v>296</v>
      </c>
    </row>
    <row r="11" spans="1:10" ht="17.100000000000001" customHeight="1">
      <c r="A11" s="856"/>
      <c r="B11" s="204" t="s">
        <v>165</v>
      </c>
      <c r="C11" s="199"/>
      <c r="D11" s="20">
        <f>IF(OR(C11="",C11=0),9549*C10/B22*1000,C11)</f>
        <v>9946.875</v>
      </c>
      <c r="F11" s="846" t="s">
        <v>143</v>
      </c>
      <c r="G11" s="26" t="s">
        <v>123</v>
      </c>
      <c r="H11" s="26" t="s">
        <v>124</v>
      </c>
      <c r="I11" s="26" t="s">
        <v>125</v>
      </c>
      <c r="J11" s="26" t="s">
        <v>126</v>
      </c>
    </row>
    <row r="12" spans="1:10" ht="17.100000000000001" customHeight="1">
      <c r="A12" s="858"/>
      <c r="B12" s="859"/>
      <c r="C12" s="859"/>
      <c r="D12" s="860"/>
      <c r="F12" s="826"/>
      <c r="G12" s="208">
        <v>1.1000000000000001</v>
      </c>
      <c r="H12" s="208">
        <v>1.2</v>
      </c>
      <c r="I12" s="208">
        <v>1.3</v>
      </c>
      <c r="J12" s="208">
        <v>1.4</v>
      </c>
    </row>
    <row r="13" spans="1:10" ht="17.100000000000001" customHeight="1">
      <c r="A13" s="209" t="s">
        <v>115</v>
      </c>
      <c r="B13" s="209" t="s">
        <v>121</v>
      </c>
      <c r="C13" s="209" t="s">
        <v>122</v>
      </c>
      <c r="D13" s="209" t="s">
        <v>15</v>
      </c>
      <c r="I13" s="52" t="s">
        <v>235</v>
      </c>
    </row>
    <row r="14" spans="1:10" ht="17.100000000000001" customHeight="1">
      <c r="A14" s="209" t="s">
        <v>264</v>
      </c>
      <c r="B14" s="199">
        <v>24</v>
      </c>
      <c r="C14" s="61">
        <f>ROUND(B14*C9,0)</f>
        <v>48</v>
      </c>
      <c r="D14" s="209" t="s">
        <v>339</v>
      </c>
      <c r="F14" s="25" t="s">
        <v>318</v>
      </c>
    </row>
    <row r="15" spans="1:10" ht="17.100000000000001" customHeight="1">
      <c r="A15" s="209" t="s">
        <v>315</v>
      </c>
      <c r="B15" s="65">
        <f>DEGREES(ATAN(B14/C14))</f>
        <v>26.56505117707799</v>
      </c>
      <c r="C15" s="65">
        <f>DEGREES(ATAN(C14/B14))</f>
        <v>63.43494882292201</v>
      </c>
      <c r="D15" s="209" t="s">
        <v>314</v>
      </c>
      <c r="F15" s="827" t="s">
        <v>303</v>
      </c>
      <c r="G15" s="847" t="s">
        <v>304</v>
      </c>
      <c r="H15" s="847"/>
      <c r="I15" s="847"/>
    </row>
    <row r="16" spans="1:10" ht="17.100000000000001" customHeight="1">
      <c r="A16" s="209" t="s">
        <v>316</v>
      </c>
      <c r="B16" s="65">
        <f>B14/COS(ATAN(B14/C14))</f>
        <v>26.832815729997478</v>
      </c>
      <c r="C16" s="65">
        <f>C14/COS(ATAN(C14/B14))</f>
        <v>107.33126291998988</v>
      </c>
      <c r="D16" s="209" t="s">
        <v>317</v>
      </c>
      <c r="F16" s="827"/>
      <c r="G16" s="75" t="s">
        <v>305</v>
      </c>
      <c r="H16" s="76" t="s">
        <v>309</v>
      </c>
      <c r="I16" s="75" t="s">
        <v>306</v>
      </c>
    </row>
    <row r="17" spans="1:11" ht="17.100000000000001" customHeight="1">
      <c r="A17" s="23" t="s">
        <v>215</v>
      </c>
      <c r="B17" s="71">
        <f>IF(B16&lt;35,-0.0000570752776635208*(B16-16)^3+0.00307677616500968*(B16-16)^2-0.0688841305752419*(B16-16)+3.03422577422526,IF(B16&lt;110,-0.00141414141414042*(B16/10-2)^3+0.0267099567099223*(B16/10-2)^2-0.18568542568536*(B16/10-2)+2.6785714285711,IF(B16&lt;160,2.14,IF(B16&lt;210,2.12,2.1))))</f>
        <v>2.5765202517660519</v>
      </c>
      <c r="C17" s="71">
        <f>IF(C16&lt;35,-0.0000570752776635208*(C16-16)^3+0.00307677616500968*(C16-16)^2-0.0688841305752419*(C16-16)+3.03422577422526,IF(C16&lt;110,-0.00141414141414042*(C16/10-2)^3+0.0267099567099223*(C16/10-2)^2-0.18568542568536*(C16/10-2)+2.6785714285711,IF(C16&lt;160,2.14,IF(C16&lt;210,2.12,2.1))))</f>
        <v>2.1521645700279204</v>
      </c>
      <c r="D17" s="209"/>
      <c r="F17" s="77" t="s">
        <v>307</v>
      </c>
      <c r="G17" s="208">
        <v>1</v>
      </c>
      <c r="H17" s="208">
        <v>1.1000000000000001</v>
      </c>
      <c r="I17" s="208">
        <v>1.25</v>
      </c>
    </row>
    <row r="18" spans="1:11" ht="17.100000000000001" customHeight="1">
      <c r="A18" s="209" t="s">
        <v>216</v>
      </c>
      <c r="B18" s="65">
        <f>IF(B14&lt;35,0.0000291375291376905*(B14-16)^3 - 0.00079295704295923 *(B14-16)^2 + 0.0139880952381617*(B14-16) + 1.50570429570396,IF(B14&lt;130,-0.0027083333*(B14/10-2)^2 + 0.0474107143*(B14/10-2) + 1.5825892857,IF(B14&lt;160,1.83,IF(B14&lt;210,1.865,1.9)) ))</f>
        <v>1.5817782217783602</v>
      </c>
      <c r="C18" s="65">
        <f>IF(C14&lt;35,0.0000291375291376905*(C14-16)^3 - 0.00079295704295923 *(C14-16)^2 + 0.0139880952381617*(C14-16) + 1.50570429570396,IF(C14&lt;130,-0.0027083333*(C14/10-2)^2 + 0.0474107143*(C14/10-2) + 1.5825892857,IF(C14&lt;160,1.83,IF(C14&lt;210,1.865,1.9)) ))</f>
        <v>1.6941059526679998</v>
      </c>
      <c r="D18" s="209"/>
      <c r="F18" s="201" t="s">
        <v>308</v>
      </c>
      <c r="G18" s="208">
        <v>1.1000000000000001</v>
      </c>
      <c r="H18" s="208">
        <v>1.25</v>
      </c>
      <c r="I18" s="208">
        <v>1.5</v>
      </c>
    </row>
    <row r="19" spans="1:11" ht="17.100000000000001" customHeight="1">
      <c r="A19" s="209" t="s">
        <v>214</v>
      </c>
      <c r="B19" s="65">
        <f>B17*B18</f>
        <v>4.0754836222144384</v>
      </c>
      <c r="C19" s="65">
        <f>C17*C18</f>
        <v>3.6459948092054661</v>
      </c>
      <c r="D19" s="209"/>
      <c r="F19" s="227"/>
      <c r="G19" s="51"/>
      <c r="H19" s="51"/>
      <c r="I19" s="51"/>
      <c r="J19" s="51"/>
    </row>
    <row r="20" spans="1:11" ht="17.100000000000001" customHeight="1">
      <c r="A20" s="209" t="s">
        <v>131</v>
      </c>
      <c r="B20" s="199">
        <v>1</v>
      </c>
      <c r="C20" s="199">
        <v>1</v>
      </c>
      <c r="D20" s="209"/>
      <c r="F20" s="25" t="s">
        <v>319</v>
      </c>
      <c r="G20" s="24"/>
      <c r="H20" s="24"/>
      <c r="J20" s="25" t="s">
        <v>320</v>
      </c>
      <c r="K20" s="24"/>
    </row>
    <row r="21" spans="1:11" ht="17.100000000000001" customHeight="1">
      <c r="A21" s="209" t="s">
        <v>120</v>
      </c>
      <c r="B21" s="857">
        <f>2*8*300*15</f>
        <v>72000</v>
      </c>
      <c r="C21" s="857"/>
      <c r="D21" s="67" t="s">
        <v>254</v>
      </c>
      <c r="G21" s="24"/>
      <c r="H21" s="24"/>
      <c r="J21" s="24"/>
      <c r="K21" s="24"/>
    </row>
    <row r="22" spans="1:11" ht="17.100000000000001" customHeight="1">
      <c r="A22" s="209" t="s">
        <v>132</v>
      </c>
      <c r="B22" s="199">
        <v>960</v>
      </c>
      <c r="C22" s="61">
        <f>B22/C9</f>
        <v>480</v>
      </c>
      <c r="D22" s="209"/>
      <c r="G22" s="24"/>
      <c r="H22" s="24"/>
      <c r="J22" s="24"/>
      <c r="K22" s="24"/>
    </row>
    <row r="23" spans="1:11" ht="17.100000000000001" customHeight="1">
      <c r="A23" s="209" t="s">
        <v>133</v>
      </c>
      <c r="B23" s="66">
        <f>60*B22*B20*B21</f>
        <v>4147200000</v>
      </c>
      <c r="C23" s="66">
        <f>60*C22*C20*B21</f>
        <v>2073600000</v>
      </c>
      <c r="D23" s="209" t="s">
        <v>119</v>
      </c>
      <c r="G23" s="24"/>
      <c r="H23" s="24"/>
      <c r="J23" s="24"/>
      <c r="K23" s="24"/>
    </row>
    <row r="24" spans="1:11" ht="17.100000000000001" customHeight="1">
      <c r="A24" s="209" t="s">
        <v>210</v>
      </c>
      <c r="B24" s="199">
        <v>0.9</v>
      </c>
      <c r="C24" s="199">
        <v>0.95</v>
      </c>
      <c r="D24" s="209" t="s">
        <v>138</v>
      </c>
      <c r="G24" s="24"/>
      <c r="H24" s="24"/>
      <c r="J24" s="24"/>
      <c r="K24" s="24"/>
    </row>
    <row r="25" spans="1:11" ht="17.100000000000001" customHeight="1">
      <c r="A25" s="209" t="s">
        <v>134</v>
      </c>
      <c r="B25" s="199">
        <v>300</v>
      </c>
      <c r="C25" s="199">
        <v>250</v>
      </c>
      <c r="D25" s="209"/>
      <c r="G25" s="24"/>
      <c r="H25" s="24"/>
      <c r="J25" s="24"/>
      <c r="K25" s="24"/>
    </row>
    <row r="26" spans="1:11" ht="17.100000000000001" customHeight="1">
      <c r="A26" s="209" t="s">
        <v>213</v>
      </c>
      <c r="B26" s="199">
        <v>400</v>
      </c>
      <c r="C26" s="199">
        <v>380</v>
      </c>
      <c r="D26" s="209" t="s">
        <v>323</v>
      </c>
      <c r="G26" s="24"/>
      <c r="H26" s="24"/>
      <c r="J26" s="24"/>
      <c r="K26" s="24"/>
    </row>
    <row r="27" spans="1:11" ht="17.100000000000001" customHeight="1">
      <c r="A27" s="209" t="s">
        <v>211</v>
      </c>
      <c r="B27" s="61">
        <f>B24*B26/1.5</f>
        <v>240</v>
      </c>
      <c r="C27" s="65">
        <f>C24*C26/1.5</f>
        <v>240.66666666666666</v>
      </c>
      <c r="D27" s="16" t="s">
        <v>195</v>
      </c>
      <c r="G27" s="24"/>
      <c r="H27" s="24"/>
      <c r="J27" s="24"/>
      <c r="K27" s="24"/>
    </row>
    <row r="28" spans="1:11" ht="17.100000000000001" customHeight="1">
      <c r="A28" s="209" t="s">
        <v>212</v>
      </c>
      <c r="B28" s="70">
        <f>B19/B27</f>
        <v>1.6981181759226825E-2</v>
      </c>
      <c r="C28" s="70">
        <f>C19/C27</f>
        <v>1.5149562919136286E-2</v>
      </c>
      <c r="D28" s="209" t="s">
        <v>140</v>
      </c>
      <c r="G28" s="24"/>
      <c r="H28" s="24"/>
      <c r="J28" s="24"/>
      <c r="K28" s="24"/>
    </row>
    <row r="29" spans="1:11" ht="17.100000000000001" customHeight="1">
      <c r="A29" s="835"/>
      <c r="B29" s="836"/>
      <c r="C29" s="837"/>
      <c r="D29" s="209"/>
      <c r="G29" s="24"/>
      <c r="H29" s="24"/>
      <c r="J29" s="24"/>
      <c r="K29" s="24"/>
    </row>
    <row r="30" spans="1:11" ht="17.100000000000001" customHeight="1">
      <c r="A30" s="861" t="s">
        <v>325</v>
      </c>
      <c r="B30" s="862"/>
      <c r="C30" s="17">
        <f>IF(B28&gt;C28,(B28*4*A7*D11/(C8*(1-0.5*C8)^2*B14^2*(C9^2+1)^(1/2)))^(1/3),(C28*4*A7*D11/(C8*(1-0.5*C8)^2*B14^2*(C9^2+1)^(1/2)))^(1/3))</f>
        <v>1.4798202079337008</v>
      </c>
      <c r="D30" s="209" t="s">
        <v>332</v>
      </c>
      <c r="G30" s="24"/>
      <c r="H30" s="24"/>
      <c r="J30" s="24"/>
      <c r="K30" s="24"/>
    </row>
    <row r="31" spans="1:11" ht="17.100000000000001" customHeight="1">
      <c r="A31" s="835"/>
      <c r="B31" s="836"/>
      <c r="C31" s="837"/>
      <c r="D31" s="209"/>
      <c r="G31" s="24"/>
      <c r="H31" s="24"/>
      <c r="J31" s="24"/>
      <c r="K31" s="24"/>
    </row>
    <row r="32" spans="1:11" ht="17.100000000000001" customHeight="1">
      <c r="A32" s="831" t="s">
        <v>273</v>
      </c>
      <c r="B32" s="832"/>
      <c r="C32" s="832"/>
      <c r="D32" s="833"/>
      <c r="G32" s="24"/>
      <c r="H32" s="24"/>
      <c r="J32" s="24"/>
      <c r="K32" s="24"/>
    </row>
    <row r="33" spans="1:11" ht="17.100000000000001" customHeight="1">
      <c r="A33" s="209" t="s">
        <v>115</v>
      </c>
      <c r="B33" s="209" t="s">
        <v>121</v>
      </c>
      <c r="C33" s="209" t="s">
        <v>122</v>
      </c>
      <c r="D33" s="209" t="s">
        <v>15</v>
      </c>
      <c r="G33" s="24"/>
      <c r="H33" s="24"/>
      <c r="J33" s="24"/>
      <c r="K33" s="24"/>
    </row>
    <row r="34" spans="1:11" ht="17.100000000000001" customHeight="1">
      <c r="A34" s="209" t="s">
        <v>133</v>
      </c>
      <c r="B34" s="15">
        <f>B23</f>
        <v>4147200000</v>
      </c>
      <c r="C34" s="15">
        <f>C23</f>
        <v>2073600000</v>
      </c>
      <c r="D34" s="209" t="s">
        <v>119</v>
      </c>
      <c r="G34" s="24"/>
      <c r="H34" s="24"/>
      <c r="J34" s="24"/>
      <c r="K34" s="24"/>
    </row>
    <row r="35" spans="1:11" ht="17.100000000000001" customHeight="1">
      <c r="A35" s="209" t="s">
        <v>210</v>
      </c>
      <c r="B35" s="200">
        <v>0.9</v>
      </c>
      <c r="C35" s="200">
        <v>0.95</v>
      </c>
      <c r="D35" s="209" t="s">
        <v>141</v>
      </c>
      <c r="G35" s="24"/>
      <c r="H35" s="24"/>
      <c r="J35" s="24"/>
      <c r="K35" s="24"/>
    </row>
    <row r="36" spans="1:11" ht="17.100000000000001" customHeight="1">
      <c r="A36" s="209" t="s">
        <v>134</v>
      </c>
      <c r="B36" s="209">
        <f>B25</f>
        <v>300</v>
      </c>
      <c r="C36" s="209">
        <f>C25</f>
        <v>250</v>
      </c>
      <c r="D36" s="209"/>
      <c r="G36" s="24"/>
      <c r="H36" s="24"/>
      <c r="J36" s="24"/>
      <c r="K36" s="24"/>
    </row>
    <row r="37" spans="1:11" ht="17.100000000000001" customHeight="1">
      <c r="A37" s="209" t="s">
        <v>208</v>
      </c>
      <c r="B37" s="200">
        <v>620</v>
      </c>
      <c r="C37" s="200">
        <v>550</v>
      </c>
      <c r="D37" s="209" t="s">
        <v>329</v>
      </c>
      <c r="G37" s="24"/>
      <c r="H37" s="24"/>
      <c r="J37" s="24"/>
      <c r="K37" s="24"/>
    </row>
    <row r="38" spans="1:11" ht="17.100000000000001" customHeight="1">
      <c r="A38" s="209" t="s">
        <v>209</v>
      </c>
      <c r="B38" s="13">
        <f>B35*B37</f>
        <v>558</v>
      </c>
      <c r="C38" s="13">
        <f>C35*C37</f>
        <v>522.5</v>
      </c>
      <c r="D38" s="16" t="s">
        <v>188</v>
      </c>
      <c r="G38" s="24"/>
      <c r="H38" s="24"/>
      <c r="J38" s="24"/>
      <c r="K38" s="24"/>
    </row>
    <row r="39" spans="1:11" ht="17.100000000000001" customHeight="1">
      <c r="A39" s="209" t="s">
        <v>207</v>
      </c>
      <c r="B39" s="829">
        <f>IF(B38&gt;C38,C38,B38)</f>
        <v>522.5</v>
      </c>
      <c r="C39" s="830"/>
      <c r="D39" s="209" t="s">
        <v>206</v>
      </c>
      <c r="F39" s="29"/>
      <c r="G39" s="29"/>
      <c r="H39" s="29"/>
      <c r="I39" s="29"/>
      <c r="J39" s="29"/>
    </row>
    <row r="40" spans="1:11" ht="17.100000000000001" customHeight="1">
      <c r="A40" s="838" t="s">
        <v>266</v>
      </c>
      <c r="B40" s="839"/>
      <c r="C40" s="200">
        <v>189.8</v>
      </c>
      <c r="D40" s="209" t="s">
        <v>324</v>
      </c>
      <c r="F40" s="25" t="s">
        <v>328</v>
      </c>
    </row>
    <row r="41" spans="1:11" ht="17.100000000000001" customHeight="1">
      <c r="A41" s="835"/>
      <c r="B41" s="836"/>
      <c r="C41" s="837"/>
      <c r="D41" s="208"/>
    </row>
    <row r="42" spans="1:11" ht="17.100000000000001" customHeight="1">
      <c r="A42" s="861" t="s">
        <v>327</v>
      </c>
      <c r="B42" s="862"/>
      <c r="C42" s="17">
        <f>2.92*((C40/B39)^2*A7*D11/(C8*(1-0.5*C8)^2*C9))^(1/3)</f>
        <v>46.56021137796143</v>
      </c>
      <c r="D42" s="209" t="s">
        <v>333</v>
      </c>
    </row>
    <row r="44" spans="1:11" ht="17.100000000000001" customHeight="1">
      <c r="A44" s="831" t="s">
        <v>330</v>
      </c>
      <c r="B44" s="832"/>
      <c r="C44" s="832"/>
      <c r="D44" s="833"/>
    </row>
    <row r="45" spans="1:11" ht="17.100000000000001" customHeight="1">
      <c r="A45" s="14" t="s">
        <v>160</v>
      </c>
      <c r="B45" s="209" t="s">
        <v>163</v>
      </c>
      <c r="C45" s="18">
        <f>1.15*C30</f>
        <v>1.7017932391237558</v>
      </c>
      <c r="D45" s="14" t="s">
        <v>161</v>
      </c>
    </row>
    <row r="46" spans="1:11" ht="17.100000000000001" customHeight="1">
      <c r="A46" s="834" t="s">
        <v>162</v>
      </c>
      <c r="B46" s="209" t="s">
        <v>163</v>
      </c>
      <c r="C46" s="19">
        <f>C30</f>
        <v>1.4798202079337008</v>
      </c>
      <c r="D46" s="14"/>
    </row>
    <row r="47" spans="1:11" ht="17.100000000000001" customHeight="1">
      <c r="A47" s="834"/>
      <c r="B47" s="209" t="s">
        <v>164</v>
      </c>
      <c r="C47" s="19">
        <f>C42</f>
        <v>46.56021137796143</v>
      </c>
      <c r="D47" s="14"/>
    </row>
    <row r="48" spans="1:11" ht="17.100000000000001" customHeight="1" thickBot="1"/>
    <row r="49" spans="1:6" ht="17.100000000000001" customHeight="1">
      <c r="A49" s="840" t="s">
        <v>249</v>
      </c>
      <c r="B49" s="841"/>
      <c r="C49" s="841"/>
      <c r="D49" s="842"/>
    </row>
    <row r="50" spans="1:6" ht="17.100000000000001" customHeight="1">
      <c r="A50" s="785"/>
      <c r="B50" s="786"/>
      <c r="C50" s="786"/>
      <c r="D50" s="787"/>
    </row>
    <row r="51" spans="1:6" ht="17.100000000000001" customHeight="1">
      <c r="A51" s="785"/>
      <c r="B51" s="786"/>
      <c r="C51" s="786"/>
      <c r="D51" s="787"/>
    </row>
    <row r="52" spans="1:6" ht="17.100000000000001" customHeight="1">
      <c r="A52" s="785"/>
      <c r="B52" s="786"/>
      <c r="C52" s="786"/>
      <c r="D52" s="787"/>
    </row>
    <row r="53" spans="1:6" ht="17.100000000000001" customHeight="1">
      <c r="A53" s="785"/>
      <c r="B53" s="786"/>
      <c r="C53" s="786"/>
      <c r="D53" s="787"/>
    </row>
    <row r="54" spans="1:6" ht="17.100000000000001" customHeight="1">
      <c r="A54" s="785"/>
      <c r="B54" s="786"/>
      <c r="C54" s="786"/>
      <c r="D54" s="787"/>
    </row>
    <row r="55" spans="1:6" ht="17.100000000000001" customHeight="1">
      <c r="A55" s="785"/>
      <c r="B55" s="786"/>
      <c r="C55" s="786"/>
      <c r="D55" s="787"/>
    </row>
    <row r="56" spans="1:6" ht="17.100000000000001" customHeight="1">
      <c r="A56" s="785"/>
      <c r="B56" s="786"/>
      <c r="C56" s="786"/>
      <c r="D56" s="787"/>
    </row>
    <row r="57" spans="1:6" ht="17.100000000000001" customHeight="1">
      <c r="A57" s="785"/>
      <c r="B57" s="786"/>
      <c r="C57" s="786"/>
      <c r="D57" s="787"/>
      <c r="F57" s="25" t="s">
        <v>321</v>
      </c>
    </row>
    <row r="58" spans="1:6" ht="17.100000000000001" customHeight="1">
      <c r="A58" s="785"/>
      <c r="B58" s="786"/>
      <c r="C58" s="786"/>
      <c r="D58" s="787"/>
    </row>
    <row r="59" spans="1:6" ht="17.100000000000001" customHeight="1">
      <c r="A59" s="785"/>
      <c r="B59" s="786"/>
      <c r="C59" s="786"/>
      <c r="D59" s="787"/>
    </row>
    <row r="60" spans="1:6" ht="17.100000000000001" customHeight="1">
      <c r="A60" s="785"/>
      <c r="B60" s="786"/>
      <c r="C60" s="786"/>
      <c r="D60" s="787"/>
    </row>
    <row r="61" spans="1:6" ht="17.100000000000001" customHeight="1">
      <c r="A61" s="785"/>
      <c r="B61" s="786"/>
      <c r="C61" s="786"/>
      <c r="D61" s="787"/>
    </row>
    <row r="62" spans="1:6" ht="17.100000000000001" customHeight="1">
      <c r="A62" s="785"/>
      <c r="B62" s="786"/>
      <c r="C62" s="786"/>
      <c r="D62" s="787"/>
    </row>
    <row r="63" spans="1:6" ht="17.100000000000001" customHeight="1" thickBot="1">
      <c r="A63" s="788"/>
      <c r="B63" s="789"/>
      <c r="C63" s="789"/>
      <c r="D63" s="790"/>
    </row>
    <row r="64" spans="1:6" ht="17.100000000000001" customHeight="1">
      <c r="A64" s="840" t="s">
        <v>331</v>
      </c>
      <c r="B64" s="841"/>
      <c r="C64" s="841"/>
      <c r="D64" s="842"/>
    </row>
    <row r="65" spans="1:11" ht="17.100000000000001" customHeight="1">
      <c r="A65" s="785"/>
      <c r="B65" s="786"/>
      <c r="C65" s="786"/>
      <c r="D65" s="787"/>
    </row>
    <row r="66" spans="1:11" ht="17.100000000000001" customHeight="1">
      <c r="A66" s="785"/>
      <c r="B66" s="786"/>
      <c r="C66" s="786"/>
      <c r="D66" s="787"/>
    </row>
    <row r="67" spans="1:11" ht="17.100000000000001" customHeight="1">
      <c r="A67" s="785"/>
      <c r="B67" s="786"/>
      <c r="C67" s="786"/>
      <c r="D67" s="787"/>
    </row>
    <row r="68" spans="1:11" ht="17.100000000000001" customHeight="1">
      <c r="A68" s="785"/>
      <c r="B68" s="786"/>
      <c r="C68" s="786"/>
      <c r="D68" s="787"/>
    </row>
    <row r="69" spans="1:11" ht="17.100000000000001" customHeight="1">
      <c r="A69" s="785"/>
      <c r="B69" s="786"/>
      <c r="C69" s="786"/>
      <c r="D69" s="787"/>
    </row>
    <row r="70" spans="1:11" ht="17.100000000000001" customHeight="1">
      <c r="A70" s="785"/>
      <c r="B70" s="786"/>
      <c r="C70" s="786"/>
      <c r="D70" s="787"/>
    </row>
    <row r="71" spans="1:11" ht="17.100000000000001" customHeight="1">
      <c r="A71" s="785"/>
      <c r="B71" s="786"/>
      <c r="C71" s="786"/>
      <c r="D71" s="787"/>
    </row>
    <row r="72" spans="1:11" ht="17.100000000000001" customHeight="1" thickBot="1">
      <c r="A72" s="788"/>
      <c r="B72" s="789"/>
      <c r="C72" s="789"/>
      <c r="D72" s="790"/>
      <c r="E72" s="29"/>
      <c r="F72" s="25" t="s">
        <v>322</v>
      </c>
    </row>
    <row r="73" spans="1:11" ht="17.100000000000001" customHeight="1">
      <c r="A73" s="205"/>
      <c r="B73" s="205"/>
      <c r="C73" s="205"/>
      <c r="D73" s="205"/>
      <c r="E73" s="29"/>
      <c r="F73" s="827" t="s">
        <v>144</v>
      </c>
      <c r="G73" s="835" t="s">
        <v>145</v>
      </c>
      <c r="H73" s="836"/>
      <c r="I73" s="836"/>
      <c r="J73" s="836"/>
      <c r="K73" s="837"/>
    </row>
    <row r="74" spans="1:11" ht="17.100000000000001" customHeight="1">
      <c r="A74" s="24" t="s">
        <v>334</v>
      </c>
      <c r="F74" s="828"/>
      <c r="G74" s="26" t="s">
        <v>146</v>
      </c>
      <c r="H74" s="26" t="s">
        <v>147</v>
      </c>
      <c r="I74" s="26" t="s">
        <v>148</v>
      </c>
      <c r="J74" s="26" t="s">
        <v>149</v>
      </c>
      <c r="K74" s="26" t="s">
        <v>150</v>
      </c>
    </row>
    <row r="75" spans="1:11" ht="17.100000000000001" customHeight="1">
      <c r="A75" s="208" t="s">
        <v>284</v>
      </c>
      <c r="B75" s="824" t="s">
        <v>286</v>
      </c>
      <c r="C75" s="824"/>
      <c r="D75" s="76" t="s">
        <v>15</v>
      </c>
      <c r="F75" s="828"/>
      <c r="G75" s="26" t="s">
        <v>151</v>
      </c>
      <c r="H75" s="26" t="s">
        <v>152</v>
      </c>
      <c r="I75" s="26" t="s">
        <v>153</v>
      </c>
      <c r="J75" s="26" t="s">
        <v>154</v>
      </c>
      <c r="K75" s="26" t="s">
        <v>155</v>
      </c>
    </row>
    <row r="76" spans="1:11" ht="17.100000000000001" customHeight="1">
      <c r="A76" s="828" t="s">
        <v>261</v>
      </c>
      <c r="B76" s="824"/>
      <c r="C76" s="824"/>
      <c r="D76" s="864" t="s">
        <v>335</v>
      </c>
      <c r="F76" s="26" t="s">
        <v>149</v>
      </c>
      <c r="G76" s="26">
        <v>162</v>
      </c>
      <c r="H76" s="26">
        <v>181.4</v>
      </c>
      <c r="I76" s="26">
        <v>188.9</v>
      </c>
      <c r="J76" s="26">
        <v>189.8</v>
      </c>
      <c r="K76" s="26">
        <v>56.4</v>
      </c>
    </row>
    <row r="77" spans="1:11" ht="17.100000000000001" customHeight="1">
      <c r="A77" s="828"/>
      <c r="B77" s="824"/>
      <c r="C77" s="824"/>
      <c r="D77" s="864"/>
      <c r="F77" s="26" t="s">
        <v>148</v>
      </c>
      <c r="G77" s="26">
        <v>161.4</v>
      </c>
      <c r="H77" s="26">
        <v>180.5</v>
      </c>
      <c r="I77" s="26">
        <v>188</v>
      </c>
      <c r="J77" s="29"/>
      <c r="K77" s="29"/>
    </row>
    <row r="78" spans="1:11" ht="17.100000000000001" customHeight="1">
      <c r="A78" s="828"/>
      <c r="B78" s="824"/>
      <c r="C78" s="824"/>
      <c r="D78" s="864"/>
      <c r="F78" s="26" t="s">
        <v>147</v>
      </c>
      <c r="G78" s="26">
        <v>156.6</v>
      </c>
      <c r="H78" s="26">
        <v>173.9</v>
      </c>
      <c r="I78" s="29"/>
      <c r="J78" s="29"/>
      <c r="K78" s="29"/>
    </row>
    <row r="79" spans="1:11" ht="17.100000000000001" customHeight="1">
      <c r="A79" s="828" t="s">
        <v>277</v>
      </c>
      <c r="B79" s="824"/>
      <c r="C79" s="824"/>
      <c r="D79" s="864" t="s">
        <v>336</v>
      </c>
      <c r="F79" s="26" t="s">
        <v>146</v>
      </c>
      <c r="G79" s="26">
        <v>143.69999999999999</v>
      </c>
      <c r="H79" s="29"/>
      <c r="I79" s="29"/>
      <c r="J79" s="29"/>
      <c r="K79" s="29"/>
    </row>
    <row r="80" spans="1:11" ht="17.100000000000001" customHeight="1">
      <c r="A80" s="828"/>
      <c r="B80" s="824"/>
      <c r="C80" s="824"/>
      <c r="D80" s="864"/>
      <c r="F80" s="25" t="s">
        <v>158</v>
      </c>
    </row>
    <row r="81" spans="1:5" ht="17.100000000000001" customHeight="1">
      <c r="A81" s="828"/>
      <c r="B81" s="824"/>
      <c r="C81" s="824"/>
      <c r="D81" s="864"/>
      <c r="E81" s="29"/>
    </row>
    <row r="82" spans="1:5" ht="17.100000000000001" customHeight="1">
      <c r="A82" s="202" t="s">
        <v>282</v>
      </c>
      <c r="B82" s="824" t="s">
        <v>280</v>
      </c>
      <c r="C82" s="824"/>
      <c r="D82" s="235" t="s">
        <v>278</v>
      </c>
      <c r="E82" s="29"/>
    </row>
    <row r="83" spans="1:5" ht="17.100000000000001" customHeight="1">
      <c r="A83" s="236" t="s">
        <v>283</v>
      </c>
      <c r="B83" s="863" t="s">
        <v>281</v>
      </c>
      <c r="C83" s="863"/>
      <c r="D83" s="237" t="s">
        <v>279</v>
      </c>
      <c r="E83" s="51"/>
    </row>
    <row r="84" spans="1:5" ht="17.100000000000001" customHeight="1">
      <c r="A84" s="238"/>
      <c r="B84" s="238"/>
      <c r="C84" s="238"/>
      <c r="D84" s="238"/>
      <c r="E84" s="239"/>
    </row>
    <row r="85" spans="1:5" ht="17.100000000000001" customHeight="1">
      <c r="A85" s="51"/>
      <c r="B85" s="51"/>
      <c r="C85" s="51"/>
      <c r="D85" s="51"/>
      <c r="E85" s="51"/>
    </row>
    <row r="86" spans="1:5" ht="17.100000000000001" customHeight="1">
      <c r="A86" s="51"/>
      <c r="B86" s="51"/>
      <c r="C86" s="51"/>
      <c r="D86" s="51"/>
      <c r="E86" s="51"/>
    </row>
    <row r="87" spans="1:5" ht="17.100000000000001" customHeight="1">
      <c r="A87" s="51"/>
      <c r="B87" s="228"/>
      <c r="C87" s="228"/>
      <c r="D87" s="29"/>
      <c r="E87" s="29"/>
    </row>
    <row r="88" spans="1:5" ht="17.100000000000001" customHeight="1">
      <c r="A88" s="51"/>
      <c r="B88" s="228"/>
      <c r="C88" s="228"/>
      <c r="D88" s="239"/>
      <c r="E88" s="29"/>
    </row>
    <row r="89" spans="1:5" ht="17.100000000000001" customHeight="1">
      <c r="A89" s="51"/>
      <c r="B89" s="228"/>
      <c r="C89" s="228"/>
      <c r="D89" s="239"/>
      <c r="E89" s="29"/>
    </row>
    <row r="90" spans="1:5" ht="17.100000000000001" customHeight="1">
      <c r="A90" s="51"/>
      <c r="B90" s="51"/>
      <c r="C90" s="51"/>
      <c r="D90" s="51"/>
      <c r="E90" s="29"/>
    </row>
    <row r="91" spans="1:5" ht="17.100000000000001" customHeight="1">
      <c r="A91" s="51"/>
      <c r="B91" s="51"/>
      <c r="C91" s="51"/>
      <c r="D91" s="51"/>
      <c r="E91" s="29"/>
    </row>
    <row r="92" spans="1:5" ht="17.100000000000001" customHeight="1">
      <c r="A92" s="51"/>
      <c r="B92" s="51"/>
      <c r="C92" s="51"/>
      <c r="D92" s="51"/>
      <c r="E92" s="29"/>
    </row>
    <row r="93" spans="1:5" ht="17.100000000000001" customHeight="1">
      <c r="A93" s="51"/>
      <c r="B93" s="51"/>
      <c r="C93" s="51"/>
      <c r="D93" s="51"/>
      <c r="E93" s="29"/>
    </row>
    <row r="94" spans="1:5" ht="17.100000000000001" customHeight="1">
      <c r="A94" s="51"/>
      <c r="B94" s="51"/>
      <c r="C94" s="51"/>
      <c r="D94" s="51"/>
      <c r="E94" s="29"/>
    </row>
    <row r="140" spans="6:6" ht="17.100000000000001" customHeight="1" thickBot="1"/>
    <row r="141" spans="6:6" ht="17.100000000000001" customHeight="1">
      <c r="F141" s="41" t="s">
        <v>203</v>
      </c>
    </row>
    <row r="142" spans="6:6" ht="17.100000000000001" customHeight="1">
      <c r="F142" s="43">
        <v>1.625</v>
      </c>
    </row>
    <row r="143" spans="6:6" ht="17.100000000000001" customHeight="1">
      <c r="F143" s="43">
        <v>1.65</v>
      </c>
    </row>
    <row r="144" spans="6:6" ht="17.100000000000001" customHeight="1">
      <c r="F144" s="43">
        <v>1.67</v>
      </c>
    </row>
    <row r="145" spans="6:6" ht="17.100000000000001" customHeight="1">
      <c r="F145" s="43">
        <v>1.68</v>
      </c>
    </row>
    <row r="146" spans="6:6" ht="17.100000000000001" customHeight="1">
      <c r="F146" s="43">
        <v>1.7</v>
      </c>
    </row>
    <row r="147" spans="6:6" ht="17.100000000000001" customHeight="1">
      <c r="F147" s="43">
        <v>1.73</v>
      </c>
    </row>
    <row r="148" spans="6:6" ht="17.100000000000001" customHeight="1">
      <c r="F148" s="43">
        <v>1.75</v>
      </c>
    </row>
    <row r="149" spans="6:6" ht="17.100000000000001" customHeight="1">
      <c r="F149" s="43">
        <v>1.77</v>
      </c>
    </row>
    <row r="150" spans="6:6" ht="17.100000000000001" customHeight="1">
      <c r="F150" s="43">
        <v>1.78</v>
      </c>
    </row>
    <row r="151" spans="6:6" ht="17.100000000000001" customHeight="1">
      <c r="F151" s="43">
        <v>1.79</v>
      </c>
    </row>
    <row r="152" spans="6:6" ht="17.100000000000001" customHeight="1">
      <c r="F152" s="43">
        <v>1.83</v>
      </c>
    </row>
    <row r="153" spans="6:6" ht="17.100000000000001" customHeight="1">
      <c r="F153" s="43">
        <v>1.865</v>
      </c>
    </row>
    <row r="154" spans="6:6" ht="17.100000000000001" customHeight="1" thickBot="1">
      <c r="F154" s="46">
        <v>1.97</v>
      </c>
    </row>
    <row r="157" spans="6:6" ht="17.100000000000001" customHeight="1">
      <c r="F157" s="208"/>
    </row>
    <row r="158" spans="6:6" ht="17.100000000000001" customHeight="1">
      <c r="F158" s="240"/>
    </row>
    <row r="159" spans="6:6" ht="17.100000000000001" customHeight="1">
      <c r="F159" s="208"/>
    </row>
    <row r="160" spans="6:6" ht="17.100000000000001" customHeight="1">
      <c r="F160" s="208"/>
    </row>
    <row r="161" spans="6:6" ht="13.5">
      <c r="F161" s="208"/>
    </row>
    <row r="162" spans="6:6" ht="17.100000000000001" customHeight="1">
      <c r="F162" s="208"/>
    </row>
    <row r="163" spans="6:6" ht="17.100000000000001" customHeight="1">
      <c r="F163" s="208"/>
    </row>
    <row r="164" spans="6:6" ht="17.100000000000001" customHeight="1">
      <c r="F164" s="208"/>
    </row>
    <row r="165" spans="6:6" ht="17.100000000000001" customHeight="1">
      <c r="F165" s="208"/>
    </row>
    <row r="179" ht="54.75" customHeight="1"/>
    <row r="180" ht="57.75" customHeight="1"/>
    <row r="185" ht="50.1" customHeight="1"/>
    <row r="186" ht="50.1" customHeight="1"/>
    <row r="187" ht="30" customHeight="1"/>
    <row r="188" ht="30" customHeight="1"/>
    <row r="189" ht="50.1" customHeight="1"/>
    <row r="190" ht="50.1" customHeight="1"/>
    <row r="191" ht="54.95" customHeight="1"/>
    <row r="192" ht="50.1" customHeight="1"/>
  </sheetData>
  <sheetProtection password="828E" sheet="1" objects="1" scenarios="1"/>
  <mergeCells count="36">
    <mergeCell ref="B82:C82"/>
    <mergeCell ref="B83:C83"/>
    <mergeCell ref="F73:F75"/>
    <mergeCell ref="A49:D63"/>
    <mergeCell ref="A64:D72"/>
    <mergeCell ref="A79:A81"/>
    <mergeCell ref="B79:C81"/>
    <mergeCell ref="D79:D81"/>
    <mergeCell ref="D76:D78"/>
    <mergeCell ref="A76:A78"/>
    <mergeCell ref="B76:C78"/>
    <mergeCell ref="B75:C75"/>
    <mergeCell ref="A9:B9"/>
    <mergeCell ref="A30:B30"/>
    <mergeCell ref="A42:B42"/>
    <mergeCell ref="A31:C31"/>
    <mergeCell ref="A32:D32"/>
    <mergeCell ref="B39:C39"/>
    <mergeCell ref="A40:B40"/>
    <mergeCell ref="A41:C41"/>
    <mergeCell ref="G73:K73"/>
    <mergeCell ref="G15:I15"/>
    <mergeCell ref="F15:F16"/>
    <mergeCell ref="A1:D1"/>
    <mergeCell ref="A2:D2"/>
    <mergeCell ref="A3:B3"/>
    <mergeCell ref="F3:F4"/>
    <mergeCell ref="A10:A11"/>
    <mergeCell ref="A44:D44"/>
    <mergeCell ref="A46:A47"/>
    <mergeCell ref="G3:J3"/>
    <mergeCell ref="A4:A6"/>
    <mergeCell ref="F11:F12"/>
    <mergeCell ref="A12:D12"/>
    <mergeCell ref="B21:C21"/>
    <mergeCell ref="A29:C29"/>
  </mergeCells>
  <phoneticPr fontId="4" type="noConversion"/>
  <dataValidations count="1">
    <dataValidation type="list" allowBlank="1" showInputMessage="1" showErrorMessage="1" prompt="选择精度" sqref="D5">
      <formula1>$G$11:$J$11</formula1>
    </dataValidation>
  </dataValidations>
  <pageMargins left="0.7" right="0.7" top="0.75" bottom="0.75" header="0.3" footer="0.3"/>
  <drawing r:id="rId1"/>
  <legacyDrawing r:id="rId2"/>
  <oleObjects>
    <oleObject progId="Equations" shapeId="3093" r:id="rId3"/>
    <oleObject progId="Equations" shapeId="3094" r:id="rId4"/>
  </oleObjects>
</worksheet>
</file>

<file path=xl/worksheets/sheet6.xml><?xml version="1.0" encoding="utf-8"?>
<worksheet xmlns="http://schemas.openxmlformats.org/spreadsheetml/2006/main" xmlns:r="http://schemas.openxmlformats.org/officeDocument/2006/relationships">
  <sheetPr codeName="Sheet4"/>
  <dimension ref="A1:W156"/>
  <sheetViews>
    <sheetView workbookViewId="0">
      <selection activeCell="K8" sqref="K8"/>
    </sheetView>
  </sheetViews>
  <sheetFormatPr defaultRowHeight="17.100000000000001" customHeight="1"/>
  <cols>
    <col min="1" max="1" width="15.625" style="24" customWidth="1"/>
    <col min="2" max="2" width="15.875" style="24" customWidth="1"/>
    <col min="3" max="4" width="15.625" style="24" customWidth="1"/>
    <col min="5" max="5" width="8" style="25" customWidth="1"/>
    <col min="6" max="6" width="15.875" style="25" customWidth="1"/>
    <col min="7" max="7" width="15.25" style="25" customWidth="1"/>
    <col min="8" max="10" width="13.625" style="25" customWidth="1"/>
    <col min="11" max="12" width="12.125" style="25" customWidth="1"/>
    <col min="13" max="13" width="9" style="25" customWidth="1"/>
    <col min="14" max="14" width="13.125" style="25" customWidth="1"/>
    <col min="15" max="15" width="13.5" style="25" customWidth="1"/>
    <col min="16" max="16384" width="9" style="25"/>
  </cols>
  <sheetData>
    <row r="1" spans="1:23" ht="21.95" customHeight="1">
      <c r="A1" s="850" t="s">
        <v>341</v>
      </c>
      <c r="B1" s="850"/>
      <c r="C1" s="850"/>
      <c r="D1" s="850"/>
      <c r="E1" s="226"/>
    </row>
    <row r="2" spans="1:23" ht="17.100000000000001" customHeight="1">
      <c r="A2" s="831" t="s">
        <v>390</v>
      </c>
      <c r="B2" s="851"/>
      <c r="C2" s="851"/>
      <c r="D2" s="852"/>
      <c r="F2" s="25" t="s">
        <v>200</v>
      </c>
      <c r="G2" s="37"/>
    </row>
    <row r="3" spans="1:23" ht="17.100000000000001" customHeight="1">
      <c r="A3" s="855" t="s">
        <v>116</v>
      </c>
      <c r="B3" s="855"/>
      <c r="C3" s="209" t="s">
        <v>117</v>
      </c>
      <c r="D3" s="209" t="s">
        <v>15</v>
      </c>
      <c r="F3" s="77" t="s">
        <v>343</v>
      </c>
      <c r="G3" s="76" t="s">
        <v>345</v>
      </c>
      <c r="H3" s="76" t="s">
        <v>346</v>
      </c>
      <c r="I3" s="76" t="s">
        <v>347</v>
      </c>
    </row>
    <row r="4" spans="1:23" ht="17.100000000000001" customHeight="1">
      <c r="A4" s="904" t="s">
        <v>342</v>
      </c>
      <c r="B4" s="209" t="s">
        <v>198</v>
      </c>
      <c r="C4" s="241">
        <v>1.1499999999999999</v>
      </c>
      <c r="D4" s="209" t="s">
        <v>137</v>
      </c>
      <c r="F4" s="77" t="s">
        <v>344</v>
      </c>
      <c r="G4" s="208" t="s">
        <v>351</v>
      </c>
      <c r="H4" s="203" t="s">
        <v>352</v>
      </c>
      <c r="I4" s="203" t="s">
        <v>353</v>
      </c>
    </row>
    <row r="5" spans="1:23" ht="17.100000000000001" customHeight="1">
      <c r="A5" s="905"/>
      <c r="B5" s="209" t="s">
        <v>199</v>
      </c>
      <c r="C5" s="199">
        <v>1.05</v>
      </c>
      <c r="D5" s="209" t="s">
        <v>363</v>
      </c>
      <c r="F5" s="203" t="s">
        <v>348</v>
      </c>
      <c r="G5" s="208" t="s">
        <v>354</v>
      </c>
      <c r="H5" s="208" t="s">
        <v>355</v>
      </c>
      <c r="I5" s="208" t="s">
        <v>356</v>
      </c>
    </row>
    <row r="6" spans="1:23" ht="17.100000000000001" customHeight="1">
      <c r="A6" s="21">
        <f>C4*C5*C6</f>
        <v>1.2075</v>
      </c>
      <c r="B6" s="209" t="s">
        <v>197</v>
      </c>
      <c r="C6" s="73">
        <v>1</v>
      </c>
      <c r="D6" s="209" t="s">
        <v>310</v>
      </c>
      <c r="F6" s="203" t="s">
        <v>349</v>
      </c>
      <c r="G6" s="208" t="s">
        <v>357</v>
      </c>
      <c r="H6" s="208" t="s">
        <v>358</v>
      </c>
      <c r="I6" s="208" t="s">
        <v>359</v>
      </c>
    </row>
    <row r="7" spans="1:23" ht="17.100000000000001" customHeight="1">
      <c r="A7" s="838" t="s">
        <v>479</v>
      </c>
      <c r="B7" s="839"/>
      <c r="C7" s="259" t="s">
        <v>399</v>
      </c>
      <c r="D7" s="209" t="s">
        <v>401</v>
      </c>
      <c r="F7" s="203" t="s">
        <v>350</v>
      </c>
      <c r="G7" s="208">
        <v>1</v>
      </c>
      <c r="H7" s="208">
        <v>1.1499999999999999</v>
      </c>
      <c r="I7" s="208">
        <v>1.2</v>
      </c>
      <c r="W7" s="25" t="s">
        <v>400</v>
      </c>
    </row>
    <row r="8" spans="1:23" ht="17.100000000000001" customHeight="1">
      <c r="A8" s="838" t="s">
        <v>461</v>
      </c>
      <c r="B8" s="839"/>
      <c r="C8" s="241" t="s">
        <v>403</v>
      </c>
      <c r="D8" s="209" t="s">
        <v>401</v>
      </c>
      <c r="F8" s="51" t="s">
        <v>441</v>
      </c>
      <c r="G8" s="51"/>
      <c r="H8" s="51"/>
      <c r="I8" s="51"/>
      <c r="W8" s="25" t="s">
        <v>398</v>
      </c>
    </row>
    <row r="9" spans="1:23" ht="17.100000000000001" customHeight="1">
      <c r="A9" s="838" t="s">
        <v>259</v>
      </c>
      <c r="B9" s="839"/>
      <c r="C9" s="65">
        <v>20</v>
      </c>
      <c r="D9" s="209" t="s">
        <v>260</v>
      </c>
      <c r="F9" s="51"/>
      <c r="G9" s="51"/>
      <c r="H9" s="51"/>
      <c r="I9" s="51"/>
    </row>
    <row r="10" spans="1:23" ht="17.100000000000001" customHeight="1">
      <c r="A10" s="838" t="s">
        <v>159</v>
      </c>
      <c r="B10" s="839"/>
      <c r="C10" s="90">
        <v>20.5</v>
      </c>
      <c r="D10" s="209"/>
      <c r="F10" s="25" t="s">
        <v>360</v>
      </c>
      <c r="G10" s="51"/>
      <c r="H10" s="51"/>
      <c r="I10" s="51"/>
      <c r="W10" s="25" t="s">
        <v>402</v>
      </c>
    </row>
    <row r="11" spans="1:23" ht="17.100000000000001" customHeight="1">
      <c r="A11" s="838" t="s">
        <v>478</v>
      </c>
      <c r="B11" s="839"/>
      <c r="C11" s="86">
        <v>2</v>
      </c>
      <c r="D11" s="209" t="s">
        <v>138</v>
      </c>
      <c r="F11" s="825" t="s">
        <v>442</v>
      </c>
      <c r="G11" s="894" t="s">
        <v>443</v>
      </c>
      <c r="H11" s="894" t="s">
        <v>446</v>
      </c>
      <c r="I11" s="894" t="s">
        <v>447</v>
      </c>
      <c r="J11" s="894" t="s">
        <v>448</v>
      </c>
      <c r="K11" s="894" t="s">
        <v>449</v>
      </c>
      <c r="L11" s="87"/>
      <c r="W11" s="25" t="s">
        <v>404</v>
      </c>
    </row>
    <row r="12" spans="1:23" ht="17.100000000000001" customHeight="1">
      <c r="A12" s="838" t="s">
        <v>374</v>
      </c>
      <c r="B12" s="839"/>
      <c r="C12" s="242">
        <f>C11*C10</f>
        <v>41</v>
      </c>
      <c r="D12" s="209"/>
      <c r="F12" s="825"/>
      <c r="G12" s="894"/>
      <c r="H12" s="894"/>
      <c r="I12" s="894"/>
      <c r="J12" s="894"/>
      <c r="K12" s="894"/>
      <c r="L12" s="87"/>
    </row>
    <row r="13" spans="1:23" ht="17.100000000000001" customHeight="1">
      <c r="A13" s="838" t="s">
        <v>476</v>
      </c>
      <c r="B13" s="839"/>
      <c r="C13" s="85">
        <v>1450</v>
      </c>
      <c r="D13" s="209" t="s">
        <v>473</v>
      </c>
      <c r="F13" s="825"/>
      <c r="G13" s="894"/>
      <c r="H13" s="894"/>
      <c r="I13" s="894"/>
      <c r="J13" s="894"/>
      <c r="K13" s="894"/>
      <c r="L13" s="87"/>
    </row>
    <row r="14" spans="1:23" ht="17.100000000000001" customHeight="1">
      <c r="A14" s="838" t="s">
        <v>431</v>
      </c>
      <c r="B14" s="839"/>
      <c r="C14" s="65">
        <f>C13/C10</f>
        <v>70.731707317073173</v>
      </c>
      <c r="D14" s="209" t="s">
        <v>474</v>
      </c>
      <c r="F14" s="825"/>
      <c r="G14" s="894"/>
      <c r="H14" s="894"/>
      <c r="I14" s="894"/>
      <c r="J14" s="894"/>
      <c r="K14" s="894"/>
    </row>
    <row r="15" spans="1:23" ht="17.100000000000001" customHeight="1" thickBot="1">
      <c r="A15" s="856" t="s">
        <v>477</v>
      </c>
      <c r="B15" s="209" t="s">
        <v>429</v>
      </c>
      <c r="C15" s="199">
        <v>9</v>
      </c>
      <c r="D15" s="209"/>
      <c r="F15" s="243" t="s">
        <v>445</v>
      </c>
      <c r="G15" s="45" t="s">
        <v>444</v>
      </c>
      <c r="H15" s="45" t="s">
        <v>450</v>
      </c>
      <c r="I15" s="45" t="s">
        <v>452</v>
      </c>
      <c r="J15" s="243" t="s">
        <v>453</v>
      </c>
      <c r="K15" s="243" t="s">
        <v>454</v>
      </c>
    </row>
    <row r="16" spans="1:23" ht="17.100000000000001" customHeight="1">
      <c r="A16" s="856"/>
      <c r="B16" s="209" t="s">
        <v>430</v>
      </c>
      <c r="C16" s="199"/>
      <c r="D16" s="20">
        <f>IF(OR(C16="",C16=0),9549*C15/C13*1000,C16)</f>
        <v>59269.65517241379</v>
      </c>
      <c r="F16" s="27" t="s">
        <v>368</v>
      </c>
      <c r="G16" s="866" t="s">
        <v>451</v>
      </c>
      <c r="H16" s="866"/>
      <c r="I16" s="88" t="s">
        <v>370</v>
      </c>
    </row>
    <row r="17" spans="1:15" ht="17.100000000000001" customHeight="1">
      <c r="A17" s="902" t="s">
        <v>459</v>
      </c>
      <c r="B17" s="903"/>
      <c r="C17" s="199">
        <v>0.8</v>
      </c>
      <c r="D17" s="20" t="s">
        <v>458</v>
      </c>
      <c r="F17" s="76" t="s">
        <v>362</v>
      </c>
      <c r="G17" s="824" t="s">
        <v>227</v>
      </c>
      <c r="H17" s="824"/>
      <c r="I17" s="76" t="s">
        <v>369</v>
      </c>
    </row>
    <row r="18" spans="1:15" ht="17.100000000000001" customHeight="1">
      <c r="A18" s="902" t="s">
        <v>460</v>
      </c>
      <c r="B18" s="903"/>
      <c r="C18" s="65">
        <f>C10*C17*D16</f>
        <v>972022.34482758632</v>
      </c>
      <c r="D18" s="20" t="s">
        <v>694</v>
      </c>
    </row>
    <row r="19" spans="1:15" ht="17.100000000000001" customHeight="1">
      <c r="A19" s="838" t="s">
        <v>120</v>
      </c>
      <c r="B19" s="901"/>
      <c r="C19" s="199">
        <f>1*8*300*5</f>
        <v>12000</v>
      </c>
      <c r="D19" s="67" t="s">
        <v>254</v>
      </c>
      <c r="F19" s="25" t="s">
        <v>366</v>
      </c>
    </row>
    <row r="20" spans="1:15" ht="17.100000000000001" customHeight="1">
      <c r="A20" s="838" t="s">
        <v>133</v>
      </c>
      <c r="B20" s="839"/>
      <c r="C20" s="66">
        <f>60*C14*C19</f>
        <v>50926829.26829268</v>
      </c>
      <c r="D20" s="209" t="s">
        <v>376</v>
      </c>
      <c r="F20" s="75" t="s">
        <v>344</v>
      </c>
      <c r="G20" s="26" t="s">
        <v>361</v>
      </c>
      <c r="H20" s="824" t="s">
        <v>365</v>
      </c>
      <c r="I20" s="824"/>
    </row>
    <row r="21" spans="1:15" ht="17.100000000000001" customHeight="1">
      <c r="A21" s="838" t="s">
        <v>391</v>
      </c>
      <c r="B21" s="839"/>
      <c r="C21" s="65">
        <f>IF(C8=W10,1,IF(C20&lt;2.6*10^5,(100/2.6)^(1/8),IF(C20&gt;25*10^7,(1/25)^(1/8),(10^7/C20)^(1/8))))</f>
        <v>0.81589011288935642</v>
      </c>
      <c r="D21" s="209" t="s">
        <v>481</v>
      </c>
      <c r="F21" s="76" t="s">
        <v>367</v>
      </c>
      <c r="G21" s="208">
        <v>1</v>
      </c>
      <c r="H21" s="824" t="s">
        <v>364</v>
      </c>
      <c r="I21" s="824"/>
    </row>
    <row r="22" spans="1:15" ht="17.100000000000001" customHeight="1">
      <c r="A22" s="838" t="s">
        <v>394</v>
      </c>
      <c r="B22" s="839"/>
      <c r="C22" s="85">
        <v>160</v>
      </c>
      <c r="D22" s="16" t="s">
        <v>457</v>
      </c>
      <c r="I22" s="52" t="s">
        <v>235</v>
      </c>
    </row>
    <row r="23" spans="1:15" ht="17.100000000000001" customHeight="1">
      <c r="A23" s="82" t="s">
        <v>396</v>
      </c>
      <c r="B23" s="83" t="s">
        <v>397</v>
      </c>
      <c r="C23" s="199">
        <v>0.35</v>
      </c>
      <c r="D23" s="209" t="s">
        <v>480</v>
      </c>
      <c r="F23" s="25" t="s">
        <v>471</v>
      </c>
    </row>
    <row r="24" spans="1:15" ht="17.100000000000001" customHeight="1">
      <c r="A24" s="838" t="s">
        <v>395</v>
      </c>
      <c r="B24" s="839"/>
      <c r="C24" s="65">
        <f>IF(C7=W7,8.80952380952385*C23^2 - 9.58333333333343*C23 + 5.17714285714289,IF(C7=W8,8.80952380952385*C23^2 - 9.58333333333343*C23 + 5.17714285714289-0.27,请选择螺杆类型 ))</f>
        <v>2.9021428571428611</v>
      </c>
      <c r="D24" s="209"/>
      <c r="F24" s="203" t="s">
        <v>462</v>
      </c>
      <c r="G24" s="203" t="s">
        <v>465</v>
      </c>
      <c r="H24" s="203" t="s">
        <v>467</v>
      </c>
      <c r="I24" s="203" t="s">
        <v>469</v>
      </c>
      <c r="J24" s="203" t="s">
        <v>470</v>
      </c>
      <c r="K24" s="863" t="s">
        <v>699</v>
      </c>
    </row>
    <row r="25" spans="1:15" ht="17.100000000000001" customHeight="1">
      <c r="A25" s="838" t="s">
        <v>422</v>
      </c>
      <c r="B25" s="839"/>
      <c r="C25" s="74">
        <v>268</v>
      </c>
      <c r="D25" s="209" t="s">
        <v>682</v>
      </c>
      <c r="F25" s="203" t="s">
        <v>463</v>
      </c>
      <c r="G25" s="203">
        <v>6</v>
      </c>
      <c r="H25" s="203">
        <v>4</v>
      </c>
      <c r="I25" s="203">
        <v>2</v>
      </c>
      <c r="J25" s="203">
        <v>1</v>
      </c>
      <c r="K25" s="865"/>
    </row>
    <row r="26" spans="1:15" ht="17.100000000000001" customHeight="1">
      <c r="A26" s="838" t="s">
        <v>209</v>
      </c>
      <c r="B26" s="839"/>
      <c r="C26" s="65">
        <f>C21*C25</f>
        <v>218.65855025434752</v>
      </c>
      <c r="D26" s="16" t="s">
        <v>423</v>
      </c>
      <c r="F26" s="203" t="s">
        <v>464</v>
      </c>
      <c r="G26" s="203" t="s">
        <v>466</v>
      </c>
      <c r="H26" s="203" t="s">
        <v>468</v>
      </c>
      <c r="I26" s="203" t="s">
        <v>468</v>
      </c>
      <c r="J26" s="203" t="s">
        <v>470</v>
      </c>
      <c r="K26" s="866"/>
    </row>
    <row r="27" spans="1:15" ht="17.100000000000001" customHeight="1">
      <c r="A27" s="68" t="s">
        <v>424</v>
      </c>
      <c r="B27" s="81" t="s">
        <v>425</v>
      </c>
      <c r="C27" s="214">
        <f>(A6*C18*(C22*C24/C26)^2)^(1/3)</f>
        <v>174.27536433110032</v>
      </c>
      <c r="D27" s="215"/>
      <c r="F27" s="203" t="s">
        <v>472</v>
      </c>
      <c r="G27" s="203">
        <v>0.95</v>
      </c>
      <c r="H27" s="203">
        <v>0.9</v>
      </c>
      <c r="I27" s="203">
        <v>0.8</v>
      </c>
      <c r="J27" s="203">
        <v>0.7</v>
      </c>
      <c r="K27" s="203">
        <v>0.4</v>
      </c>
    </row>
    <row r="28" spans="1:15" ht="17.100000000000001" customHeight="1">
      <c r="A28" s="92" t="s">
        <v>494</v>
      </c>
      <c r="B28" s="22" t="s">
        <v>508</v>
      </c>
      <c r="C28" s="199">
        <v>200</v>
      </c>
      <c r="D28" s="209" t="s">
        <v>136</v>
      </c>
      <c r="F28" s="25" t="s">
        <v>496</v>
      </c>
    </row>
    <row r="29" spans="1:15" ht="17.100000000000001" customHeight="1">
      <c r="A29" s="93"/>
      <c r="B29" s="22" t="s">
        <v>507</v>
      </c>
      <c r="C29" s="199">
        <v>80</v>
      </c>
      <c r="D29" s="209" t="s">
        <v>685</v>
      </c>
      <c r="F29" s="227"/>
      <c r="G29" s="51"/>
      <c r="H29" s="51"/>
      <c r="I29" s="51"/>
      <c r="J29" s="51"/>
    </row>
    <row r="30" spans="1:15" ht="17.100000000000001" customHeight="1">
      <c r="A30" s="93"/>
      <c r="B30" s="22" t="s">
        <v>547</v>
      </c>
      <c r="C30" s="36">
        <f>C29/C28</f>
        <v>0.4</v>
      </c>
      <c r="D30" s="209"/>
      <c r="F30" s="25" t="s">
        <v>683</v>
      </c>
      <c r="G30" s="51"/>
      <c r="H30" s="51"/>
      <c r="I30" s="51"/>
      <c r="J30" s="51"/>
    </row>
    <row r="31" spans="1:15" ht="17.100000000000001" customHeight="1">
      <c r="A31" s="94"/>
      <c r="B31" s="861" t="str">
        <f>IF(C29/C28&lt;C23,"d1/a＜预估值,请将此值带回C20重算","d1/a≥预估值,以上计算有效")</f>
        <v>d1/a≥预估值,以上计算有效</v>
      </c>
      <c r="C31" s="909"/>
      <c r="D31" s="862"/>
      <c r="F31" s="824" t="s">
        <v>415</v>
      </c>
      <c r="G31" s="824"/>
      <c r="H31" s="835" t="s">
        <v>413</v>
      </c>
      <c r="I31" s="836"/>
      <c r="J31" s="836"/>
      <c r="K31" s="836"/>
      <c r="L31" s="836"/>
      <c r="M31" s="836"/>
      <c r="N31" s="836"/>
      <c r="O31" s="837"/>
    </row>
    <row r="32" spans="1:15" ht="17.100000000000001" customHeight="1">
      <c r="A32" s="895" t="s">
        <v>500</v>
      </c>
      <c r="B32" s="209" t="s">
        <v>492</v>
      </c>
      <c r="C32" s="73">
        <v>2</v>
      </c>
      <c r="D32" s="209"/>
      <c r="F32" s="26" t="s">
        <v>405</v>
      </c>
      <c r="G32" s="208" t="s">
        <v>414</v>
      </c>
      <c r="H32" s="208" t="s">
        <v>411</v>
      </c>
      <c r="I32" s="208">
        <v>0.25</v>
      </c>
      <c r="J32" s="208">
        <v>0.5</v>
      </c>
      <c r="K32" s="208">
        <v>1</v>
      </c>
      <c r="L32" s="208">
        <v>2</v>
      </c>
      <c r="M32" s="208">
        <v>3</v>
      </c>
      <c r="N32" s="208">
        <v>4</v>
      </c>
      <c r="O32" s="208">
        <v>6</v>
      </c>
    </row>
    <row r="33" spans="1:17" ht="17.100000000000001" customHeight="1">
      <c r="A33" s="896"/>
      <c r="B33" s="209" t="s">
        <v>493</v>
      </c>
      <c r="C33" s="73">
        <v>41</v>
      </c>
      <c r="D33" s="209"/>
      <c r="F33" s="906" t="s">
        <v>406</v>
      </c>
      <c r="G33" s="208" t="s">
        <v>407</v>
      </c>
      <c r="H33" s="208">
        <v>206</v>
      </c>
      <c r="I33" s="208">
        <v>166</v>
      </c>
      <c r="J33" s="208">
        <v>150</v>
      </c>
      <c r="K33" s="208">
        <v>127</v>
      </c>
      <c r="L33" s="208">
        <v>95</v>
      </c>
      <c r="M33" s="208" t="s">
        <v>412</v>
      </c>
      <c r="N33" s="208" t="s">
        <v>412</v>
      </c>
      <c r="O33" s="208" t="s">
        <v>412</v>
      </c>
    </row>
    <row r="34" spans="1:17" ht="17.100000000000001" customHeight="1">
      <c r="A34" s="896"/>
      <c r="B34" s="209" t="s">
        <v>495</v>
      </c>
      <c r="C34" s="61">
        <f>C33/C32</f>
        <v>20.5</v>
      </c>
      <c r="D34" s="916" t="s">
        <v>513</v>
      </c>
      <c r="E34" s="244"/>
      <c r="F34" s="907"/>
      <c r="G34" s="208" t="s">
        <v>408</v>
      </c>
      <c r="H34" s="208">
        <v>250</v>
      </c>
      <c r="I34" s="208">
        <v>202</v>
      </c>
      <c r="J34" s="208">
        <v>182</v>
      </c>
      <c r="K34" s="208">
        <v>154</v>
      </c>
      <c r="L34" s="208">
        <v>115</v>
      </c>
      <c r="M34" s="208" t="s">
        <v>412</v>
      </c>
      <c r="N34" s="208" t="s">
        <v>412</v>
      </c>
      <c r="O34" s="208" t="s">
        <v>412</v>
      </c>
    </row>
    <row r="35" spans="1:17" ht="17.100000000000001" customHeight="1">
      <c r="A35" s="896"/>
      <c r="B35" s="209" t="s">
        <v>502</v>
      </c>
      <c r="C35" s="71">
        <f>ABS(C34-C10)/C10</f>
        <v>0</v>
      </c>
      <c r="D35" s="917"/>
      <c r="F35" s="907"/>
      <c r="G35" s="208" t="s">
        <v>497</v>
      </c>
      <c r="H35" s="208" t="s">
        <v>412</v>
      </c>
      <c r="I35" s="208" t="s">
        <v>412</v>
      </c>
      <c r="J35" s="208">
        <v>215</v>
      </c>
      <c r="K35" s="208">
        <v>200</v>
      </c>
      <c r="L35" s="208">
        <v>180</v>
      </c>
      <c r="M35" s="208">
        <v>150</v>
      </c>
      <c r="N35" s="208">
        <v>135</v>
      </c>
      <c r="O35" s="208">
        <v>95</v>
      </c>
      <c r="P35" s="846" t="s">
        <v>498</v>
      </c>
      <c r="Q35" s="846"/>
    </row>
    <row r="36" spans="1:17" ht="17.100000000000001" customHeight="1">
      <c r="A36" s="896"/>
      <c r="B36" s="209" t="s">
        <v>506</v>
      </c>
      <c r="C36" s="73">
        <v>8</v>
      </c>
      <c r="D36" s="209"/>
      <c r="F36" s="907"/>
      <c r="G36" s="208" t="s">
        <v>409</v>
      </c>
      <c r="H36" s="208" t="s">
        <v>412</v>
      </c>
      <c r="I36" s="208" t="s">
        <v>412</v>
      </c>
      <c r="J36" s="208">
        <v>250</v>
      </c>
      <c r="K36" s="208">
        <v>230</v>
      </c>
      <c r="L36" s="208">
        <v>210</v>
      </c>
      <c r="M36" s="208">
        <v>180</v>
      </c>
      <c r="N36" s="208">
        <v>160</v>
      </c>
      <c r="O36" s="208">
        <v>120</v>
      </c>
      <c r="P36" s="846"/>
      <c r="Q36" s="846"/>
    </row>
    <row r="37" spans="1:17" ht="17.100000000000001" customHeight="1">
      <c r="A37" s="896"/>
      <c r="B37" s="209" t="s">
        <v>501</v>
      </c>
      <c r="C37" s="73">
        <v>10</v>
      </c>
      <c r="D37" s="209"/>
      <c r="F37" s="923" t="s">
        <v>410</v>
      </c>
      <c r="G37" s="208" t="s">
        <v>407</v>
      </c>
      <c r="H37" s="208">
        <v>172</v>
      </c>
      <c r="I37" s="208">
        <v>139</v>
      </c>
      <c r="J37" s="208">
        <v>125</v>
      </c>
      <c r="K37" s="208">
        <v>106</v>
      </c>
      <c r="L37" s="208">
        <v>79</v>
      </c>
      <c r="M37" s="208" t="s">
        <v>412</v>
      </c>
      <c r="N37" s="208" t="s">
        <v>412</v>
      </c>
      <c r="O37" s="208" t="s">
        <v>412</v>
      </c>
    </row>
    <row r="38" spans="1:17" ht="17.100000000000001" customHeight="1">
      <c r="A38" s="896"/>
      <c r="B38" s="209" t="s">
        <v>514</v>
      </c>
      <c r="C38" s="61">
        <f>C36*C37</f>
        <v>80</v>
      </c>
      <c r="D38" s="209" t="s">
        <v>516</v>
      </c>
      <c r="F38" s="923"/>
      <c r="G38" s="208" t="s">
        <v>408</v>
      </c>
      <c r="H38" s="208">
        <v>208</v>
      </c>
      <c r="I38" s="208">
        <v>168</v>
      </c>
      <c r="J38" s="208">
        <v>152</v>
      </c>
      <c r="K38" s="208">
        <v>128</v>
      </c>
      <c r="L38" s="208">
        <v>96</v>
      </c>
      <c r="M38" s="208" t="s">
        <v>412</v>
      </c>
      <c r="N38" s="208" t="s">
        <v>412</v>
      </c>
      <c r="O38" s="208" t="s">
        <v>412</v>
      </c>
    </row>
    <row r="39" spans="1:17" ht="17.100000000000001" customHeight="1">
      <c r="A39" s="896"/>
      <c r="B39" s="209" t="s">
        <v>515</v>
      </c>
      <c r="C39" s="61">
        <f>C36*C33</f>
        <v>328</v>
      </c>
      <c r="D39" s="209" t="s">
        <v>517</v>
      </c>
      <c r="F39" s="227"/>
      <c r="G39" s="51"/>
      <c r="H39" s="51"/>
      <c r="I39" s="51"/>
      <c r="J39" s="51"/>
    </row>
    <row r="40" spans="1:17" ht="17.100000000000001" customHeight="1">
      <c r="A40" s="896"/>
      <c r="B40" s="209" t="s">
        <v>504</v>
      </c>
      <c r="C40" s="65">
        <f>DEGREES(ATAN(C32/C37))</f>
        <v>11.309932474020215</v>
      </c>
      <c r="D40" s="209"/>
      <c r="F40" s="245" t="s">
        <v>684</v>
      </c>
      <c r="G40" s="51"/>
      <c r="H40" s="51"/>
      <c r="I40" s="51"/>
      <c r="J40" s="51"/>
    </row>
    <row r="41" spans="1:17" ht="17.100000000000001" customHeight="1">
      <c r="A41" s="896"/>
      <c r="B41" s="209" t="s">
        <v>503</v>
      </c>
      <c r="C41" s="61">
        <f>(C28*2-C38-C36*C33)/(2*C36)</f>
        <v>-0.5</v>
      </c>
      <c r="D41" s="209"/>
      <c r="F41" s="922" t="s">
        <v>419</v>
      </c>
      <c r="G41" s="825" t="s">
        <v>380</v>
      </c>
      <c r="H41" s="824" t="s">
        <v>416</v>
      </c>
      <c r="I41" s="824"/>
      <c r="J41" s="898" t="s">
        <v>499</v>
      </c>
      <c r="K41" s="786"/>
      <c r="L41" s="786"/>
      <c r="M41" s="205"/>
      <c r="N41" s="205"/>
    </row>
    <row r="42" spans="1:17" ht="17.100000000000001" customHeight="1">
      <c r="A42" s="897"/>
      <c r="B42" s="209" t="s">
        <v>505</v>
      </c>
      <c r="C42" s="61">
        <f>C36^2*C38</f>
        <v>5120</v>
      </c>
      <c r="D42" s="209"/>
      <c r="F42" s="824"/>
      <c r="G42" s="825"/>
      <c r="H42" s="26" t="s">
        <v>417</v>
      </c>
      <c r="I42" s="26" t="s">
        <v>418</v>
      </c>
      <c r="J42" s="898"/>
      <c r="K42" s="786"/>
      <c r="L42" s="786"/>
      <c r="M42" s="205"/>
      <c r="N42" s="205"/>
    </row>
    <row r="43" spans="1:17" ht="17.100000000000001" customHeight="1">
      <c r="A43" s="834" t="s">
        <v>532</v>
      </c>
      <c r="B43" s="209" t="s">
        <v>520</v>
      </c>
      <c r="C43" s="65">
        <f>PI()*C38*C13/(60000*COS(RADIANS(C40)))</f>
        <v>6.194029667840117</v>
      </c>
      <c r="D43" s="209" t="s">
        <v>521</v>
      </c>
      <c r="F43" s="922" t="s">
        <v>420</v>
      </c>
      <c r="G43" s="26" t="s">
        <v>386</v>
      </c>
      <c r="H43" s="208">
        <v>150</v>
      </c>
      <c r="I43" s="208">
        <v>180</v>
      </c>
      <c r="J43" s="898"/>
      <c r="K43" s="786"/>
      <c r="L43" s="786"/>
      <c r="M43" s="205"/>
      <c r="N43" s="205"/>
    </row>
    <row r="44" spans="1:17" ht="17.100000000000001" customHeight="1">
      <c r="A44" s="834"/>
      <c r="B44" s="209" t="s">
        <v>531</v>
      </c>
      <c r="C44" s="61">
        <v>1.1687000000000001</v>
      </c>
      <c r="D44" s="209" t="s">
        <v>686</v>
      </c>
      <c r="F44" s="824"/>
      <c r="G44" s="26" t="s">
        <v>387</v>
      </c>
      <c r="H44" s="208">
        <v>220</v>
      </c>
      <c r="I44" s="208">
        <v>268</v>
      </c>
      <c r="J44" s="898"/>
      <c r="K44" s="786"/>
      <c r="L44" s="786"/>
    </row>
    <row r="45" spans="1:17" ht="17.100000000000001" customHeight="1">
      <c r="A45" s="834"/>
      <c r="B45" s="209" t="s">
        <v>535</v>
      </c>
      <c r="C45" s="96">
        <f>(0.95*TAN(RADIANS(C40))/TAN(RADIANS(C40+C44)))</f>
        <v>0.85854972132365504</v>
      </c>
      <c r="D45" s="209" t="s">
        <v>536</v>
      </c>
      <c r="F45" s="922" t="s">
        <v>421</v>
      </c>
      <c r="G45" s="26" t="s">
        <v>386</v>
      </c>
      <c r="H45" s="208">
        <v>113</v>
      </c>
      <c r="I45" s="208">
        <v>135</v>
      </c>
      <c r="J45" s="898"/>
      <c r="K45" s="786"/>
      <c r="L45" s="786"/>
    </row>
    <row r="46" spans="1:17" ht="17.100000000000001" customHeight="1">
      <c r="A46" s="834"/>
      <c r="B46" s="861" t="str">
        <f>IF(0.95*TAN(RADIANS(C40))/TAN(RADIANS(C40+C44))&lt;C17,"η＜预估值,请将此值带回C17重算","η≥预估值,以上计算有效")</f>
        <v>η≥预估值,以上计算有效</v>
      </c>
      <c r="C46" s="909"/>
      <c r="D46" s="862"/>
      <c r="F46" s="824"/>
      <c r="G46" s="26" t="s">
        <v>387</v>
      </c>
      <c r="H46" s="208">
        <v>128</v>
      </c>
      <c r="I46" s="208">
        <v>140</v>
      </c>
      <c r="J46" s="898"/>
      <c r="K46" s="786"/>
      <c r="L46" s="786"/>
    </row>
    <row r="47" spans="1:17" ht="17.100000000000001" customHeight="1">
      <c r="A47" s="914"/>
      <c r="B47" s="740"/>
      <c r="C47" s="740"/>
      <c r="D47" s="915"/>
    </row>
    <row r="48" spans="1:17" ht="17.100000000000001" customHeight="1">
      <c r="A48" s="831" t="s">
        <v>511</v>
      </c>
      <c r="B48" s="832"/>
      <c r="C48" s="832"/>
      <c r="D48" s="833"/>
      <c r="F48" s="25" t="s">
        <v>687</v>
      </c>
    </row>
    <row r="49" spans="1:16" ht="17.100000000000001" customHeight="1">
      <c r="A49" s="838" t="s">
        <v>115</v>
      </c>
      <c r="B49" s="839"/>
      <c r="C49" s="209" t="s">
        <v>117</v>
      </c>
      <c r="D49" s="209" t="s">
        <v>15</v>
      </c>
      <c r="F49" s="26" t="s">
        <v>483</v>
      </c>
      <c r="G49" s="113" t="s">
        <v>482</v>
      </c>
      <c r="H49" s="203" t="s">
        <v>489</v>
      </c>
      <c r="I49" s="203" t="s">
        <v>490</v>
      </c>
      <c r="J49" s="14" t="s">
        <v>484</v>
      </c>
      <c r="K49" s="26" t="s">
        <v>485</v>
      </c>
      <c r="L49" s="14" t="s">
        <v>486</v>
      </c>
      <c r="M49" s="26" t="s">
        <v>487</v>
      </c>
      <c r="N49" s="26" t="s">
        <v>488</v>
      </c>
      <c r="O49" s="26" t="s">
        <v>601</v>
      </c>
    </row>
    <row r="50" spans="1:16" ht="17.100000000000001" customHeight="1">
      <c r="A50" s="838" t="s">
        <v>371</v>
      </c>
      <c r="B50" s="839"/>
      <c r="C50" s="65">
        <f>1-C40/140</f>
        <v>0.91921476804271274</v>
      </c>
      <c r="D50" s="209" t="s">
        <v>372</v>
      </c>
      <c r="F50" s="910">
        <v>1</v>
      </c>
      <c r="G50" s="107" t="s">
        <v>602</v>
      </c>
      <c r="H50" s="104">
        <v>62</v>
      </c>
      <c r="I50" s="104">
        <v>0</v>
      </c>
      <c r="J50" s="930">
        <v>18</v>
      </c>
      <c r="K50" s="935">
        <v>18</v>
      </c>
      <c r="L50" s="930">
        <v>18</v>
      </c>
      <c r="M50" s="932">
        <v>1</v>
      </c>
      <c r="N50" s="928" t="s">
        <v>632</v>
      </c>
      <c r="O50" s="926">
        <f>LEFT(N50,FIND("°",N50)-1)*1+MID(N50,FIND("°",N50)+1,2)/60+MID(N50,FIND("′",N50)+1,LEN(N50)-FIND("′",N50)-1)/3600</f>
        <v>3.1797222222222219</v>
      </c>
      <c r="P50" s="246"/>
    </row>
    <row r="51" spans="1:16" ht="17.100000000000001" customHeight="1">
      <c r="A51" s="838" t="s">
        <v>475</v>
      </c>
      <c r="B51" s="839"/>
      <c r="C51" s="65">
        <f>C33/(COS(RADIANS(C40)))^3</f>
        <v>43.484438411919271</v>
      </c>
      <c r="D51" s="16" t="s">
        <v>373</v>
      </c>
      <c r="F51" s="912"/>
      <c r="G51" s="210">
        <v>50</v>
      </c>
      <c r="H51" s="104">
        <v>82</v>
      </c>
      <c r="I51" s="104">
        <v>0</v>
      </c>
      <c r="J51" s="931"/>
      <c r="K51" s="936"/>
      <c r="L51" s="931"/>
      <c r="M51" s="934"/>
      <c r="N51" s="929"/>
      <c r="O51" s="927"/>
      <c r="P51" s="246"/>
    </row>
    <row r="52" spans="1:16" ht="17.100000000000001" customHeight="1">
      <c r="A52" s="838" t="s">
        <v>375</v>
      </c>
      <c r="B52" s="839"/>
      <c r="C52" s="74">
        <v>2.87</v>
      </c>
      <c r="D52" s="209" t="s">
        <v>689</v>
      </c>
      <c r="F52" s="910">
        <v>1.25</v>
      </c>
      <c r="G52" s="210">
        <v>40</v>
      </c>
      <c r="H52" s="104">
        <v>49</v>
      </c>
      <c r="I52" s="104" t="s">
        <v>564</v>
      </c>
      <c r="J52" s="211">
        <v>20</v>
      </c>
      <c r="K52" s="212">
        <v>31.25</v>
      </c>
      <c r="L52" s="211">
        <v>16</v>
      </c>
      <c r="M52" s="932">
        <v>1</v>
      </c>
      <c r="N52" s="106" t="s">
        <v>549</v>
      </c>
      <c r="O52" s="247">
        <f t="shared" ref="O52:O94" si="0">LEFT(N52,FIND("°",N52)-1)*1+MID(N52,FIND("°",N52)+1,2)/60+MID(N52,FIND("′",N52)+1,LEN(N52)-FIND("′",N52)-1)/3600</f>
        <v>3.5763888888888888</v>
      </c>
      <c r="P52" s="246"/>
    </row>
    <row r="53" spans="1:16" ht="17.100000000000001" customHeight="1">
      <c r="A53" s="838" t="s">
        <v>392</v>
      </c>
      <c r="B53" s="839"/>
      <c r="C53" s="71">
        <f>IF(C20&lt;10^5,10^(1/9),IF(C20&gt;25*10^7,(1/250)^(1/9),(10^6/C20)^(1/9)))</f>
        <v>0.64615879874190707</v>
      </c>
      <c r="D53" s="209" t="s">
        <v>377</v>
      </c>
      <c r="F53" s="911"/>
      <c r="G53" s="210">
        <v>50</v>
      </c>
      <c r="H53" s="104">
        <v>62</v>
      </c>
      <c r="I53" s="104" t="s">
        <v>566</v>
      </c>
      <c r="J53" s="930">
        <v>22.4</v>
      </c>
      <c r="K53" s="935">
        <v>35</v>
      </c>
      <c r="L53" s="930">
        <v>17.920000000000002</v>
      </c>
      <c r="M53" s="933"/>
      <c r="N53" s="928" t="s">
        <v>550</v>
      </c>
      <c r="O53" s="926">
        <f t="shared" si="0"/>
        <v>3.1938888888888886</v>
      </c>
      <c r="P53" s="246"/>
    </row>
    <row r="54" spans="1:16" ht="17.100000000000001" customHeight="1">
      <c r="A54" s="838" t="s">
        <v>378</v>
      </c>
      <c r="B54" s="839"/>
      <c r="C54" s="199">
        <v>56</v>
      </c>
      <c r="D54" s="209" t="s">
        <v>242</v>
      </c>
      <c r="F54" s="912"/>
      <c r="G54" s="210">
        <v>63</v>
      </c>
      <c r="H54" s="104">
        <v>82</v>
      </c>
      <c r="I54" s="104" t="s">
        <v>565</v>
      </c>
      <c r="J54" s="931"/>
      <c r="K54" s="936"/>
      <c r="L54" s="931"/>
      <c r="M54" s="934"/>
      <c r="N54" s="929"/>
      <c r="O54" s="927"/>
      <c r="P54" s="246"/>
    </row>
    <row r="55" spans="1:16" ht="17.100000000000001" customHeight="1">
      <c r="A55" s="838" t="s">
        <v>509</v>
      </c>
      <c r="B55" s="839"/>
      <c r="C55" s="96">
        <f>C53*C54</f>
        <v>36.184892729546796</v>
      </c>
      <c r="D55" s="80" t="s">
        <v>393</v>
      </c>
      <c r="F55" s="887">
        <v>1.6</v>
      </c>
      <c r="G55" s="888">
        <v>50</v>
      </c>
      <c r="H55" s="893">
        <v>51</v>
      </c>
      <c r="I55" s="893" t="s">
        <v>564</v>
      </c>
      <c r="J55" s="891">
        <v>20</v>
      </c>
      <c r="K55" s="825">
        <v>51.2</v>
      </c>
      <c r="L55" s="891">
        <v>12.5</v>
      </c>
      <c r="M55" s="213">
        <v>1</v>
      </c>
      <c r="N55" s="106" t="s">
        <v>551</v>
      </c>
      <c r="O55" s="247">
        <f>LEFT(N55,FIND("°",N55)-1)*1+MID(N55,FIND("°",N55)+1,2)/60+MID(N55,FIND("′",N55)+1,LEN(N55)-FIND("′",N55)-1)/3600</f>
        <v>4.5738888888888889</v>
      </c>
      <c r="P55" s="246"/>
    </row>
    <row r="56" spans="1:16" ht="17.100000000000001" customHeight="1">
      <c r="A56" s="855" t="s">
        <v>510</v>
      </c>
      <c r="B56" s="855"/>
      <c r="C56" s="91">
        <f>1.53*A6*C18*C50*C52/(C42*C33)</f>
        <v>22.568354288363448</v>
      </c>
      <c r="D56" s="209"/>
      <c r="F56" s="887"/>
      <c r="G56" s="888"/>
      <c r="H56" s="893"/>
      <c r="I56" s="893"/>
      <c r="J56" s="891"/>
      <c r="K56" s="825"/>
      <c r="L56" s="891"/>
      <c r="M56" s="213">
        <v>2</v>
      </c>
      <c r="N56" s="106" t="s">
        <v>552</v>
      </c>
      <c r="O56" s="247">
        <f t="shared" si="0"/>
        <v>9.0902777777777786</v>
      </c>
      <c r="P56" s="246"/>
    </row>
    <row r="57" spans="1:16" ht="17.100000000000001" customHeight="1">
      <c r="A57" s="68" t="s">
        <v>424</v>
      </c>
      <c r="B57" s="216" t="str">
        <f>IF(C56&gt;C55,"σF&gt;[σF]","σF≤[σF]")</f>
        <v>σF≤[σF]</v>
      </c>
      <c r="C57" s="899" t="str">
        <f>IF(C56&gt;C55,"校核补通过","校核通过")</f>
        <v>校核通过</v>
      </c>
      <c r="D57" s="900"/>
      <c r="F57" s="887"/>
      <c r="G57" s="888"/>
      <c r="H57" s="893"/>
      <c r="I57" s="893"/>
      <c r="J57" s="891"/>
      <c r="K57" s="825"/>
      <c r="L57" s="891"/>
      <c r="M57" s="213">
        <v>4</v>
      </c>
      <c r="N57" s="106" t="s">
        <v>553</v>
      </c>
      <c r="O57" s="247">
        <f t="shared" si="0"/>
        <v>17.744722222222222</v>
      </c>
      <c r="P57" s="246"/>
    </row>
    <row r="58" spans="1:16" ht="17.100000000000001" customHeight="1">
      <c r="F58" s="887"/>
      <c r="G58" s="210">
        <v>63</v>
      </c>
      <c r="H58" s="104">
        <v>61</v>
      </c>
      <c r="I58" s="104" t="s">
        <v>562</v>
      </c>
      <c r="J58" s="891">
        <v>28</v>
      </c>
      <c r="K58" s="825">
        <v>71.680000000000007</v>
      </c>
      <c r="L58" s="891">
        <v>17.5</v>
      </c>
      <c r="M58" s="892">
        <v>1</v>
      </c>
      <c r="N58" s="889" t="s">
        <v>554</v>
      </c>
      <c r="O58" s="890">
        <f t="shared" si="0"/>
        <v>3.2705555555555557</v>
      </c>
      <c r="P58" s="246"/>
    </row>
    <row r="59" spans="1:16" ht="17.100000000000001" customHeight="1">
      <c r="A59" s="831" t="s">
        <v>426</v>
      </c>
      <c r="B59" s="832"/>
      <c r="C59" s="832"/>
      <c r="D59" s="833"/>
      <c r="F59" s="887"/>
      <c r="G59" s="210">
        <v>80</v>
      </c>
      <c r="H59" s="104">
        <v>82</v>
      </c>
      <c r="I59" s="104" t="s">
        <v>563</v>
      </c>
      <c r="J59" s="891"/>
      <c r="K59" s="825"/>
      <c r="L59" s="891"/>
      <c r="M59" s="892"/>
      <c r="N59" s="889"/>
      <c r="O59" s="890"/>
      <c r="P59" s="246"/>
    </row>
    <row r="60" spans="1:16" ht="17.100000000000001" customHeight="1">
      <c r="A60" s="838" t="s">
        <v>512</v>
      </c>
      <c r="B60" s="839"/>
      <c r="C60" s="65">
        <f>C13/C34</f>
        <v>70.731707317073173</v>
      </c>
      <c r="D60" s="209"/>
      <c r="F60" s="887">
        <v>2</v>
      </c>
      <c r="G60" s="248"/>
      <c r="H60" s="104"/>
      <c r="I60" s="104"/>
      <c r="J60" s="891">
        <v>22.4</v>
      </c>
      <c r="K60" s="825">
        <v>89.6</v>
      </c>
      <c r="L60" s="891">
        <v>11.2</v>
      </c>
      <c r="M60" s="213">
        <v>1</v>
      </c>
      <c r="N60" s="106" t="s">
        <v>555</v>
      </c>
      <c r="O60" s="247">
        <f t="shared" si="0"/>
        <v>5.1022222222222222</v>
      </c>
      <c r="P60" s="246"/>
    </row>
    <row r="61" spans="1:16" ht="17.100000000000001" customHeight="1">
      <c r="A61" s="838" t="s">
        <v>432</v>
      </c>
      <c r="B61" s="839"/>
      <c r="C61" s="95">
        <f>2*D16/C38</f>
        <v>1481.7413793103447</v>
      </c>
      <c r="D61" s="14" t="s">
        <v>427</v>
      </c>
      <c r="F61" s="887"/>
      <c r="G61" s="210">
        <v>40</v>
      </c>
      <c r="H61" s="104">
        <v>29</v>
      </c>
      <c r="I61" s="104" t="s">
        <v>567</v>
      </c>
      <c r="J61" s="891"/>
      <c r="K61" s="825"/>
      <c r="L61" s="891"/>
      <c r="M61" s="213">
        <v>2</v>
      </c>
      <c r="N61" s="106" t="s">
        <v>556</v>
      </c>
      <c r="O61" s="247">
        <f t="shared" si="0"/>
        <v>10.124722222222223</v>
      </c>
      <c r="P61" s="246"/>
    </row>
    <row r="62" spans="1:16" ht="17.100000000000001" customHeight="1">
      <c r="A62" s="838" t="s">
        <v>433</v>
      </c>
      <c r="B62" s="839"/>
      <c r="C62" s="95">
        <f>2*C18*TAN(RADIANS(C9))/C39</f>
        <v>2157.239027798048</v>
      </c>
      <c r="D62" s="14" t="s">
        <v>428</v>
      </c>
      <c r="F62" s="887"/>
      <c r="G62" s="111">
        <v>-50</v>
      </c>
      <c r="H62" s="104" t="s">
        <v>560</v>
      </c>
      <c r="I62" s="104" t="s">
        <v>568</v>
      </c>
      <c r="J62" s="891"/>
      <c r="K62" s="825"/>
      <c r="L62" s="891"/>
      <c r="M62" s="213">
        <v>4</v>
      </c>
      <c r="N62" s="106" t="s">
        <v>557</v>
      </c>
      <c r="O62" s="247">
        <f t="shared" si="0"/>
        <v>19.653888888888886</v>
      </c>
      <c r="P62" s="246"/>
    </row>
    <row r="63" spans="1:16" ht="17.100000000000001" customHeight="1">
      <c r="A63" s="838" t="s">
        <v>434</v>
      </c>
      <c r="B63" s="839"/>
      <c r="C63" s="74">
        <f>0.9*C39</f>
        <v>295.2</v>
      </c>
      <c r="D63" s="14" t="s">
        <v>519</v>
      </c>
      <c r="F63" s="887"/>
      <c r="G63" s="111">
        <v>-63</v>
      </c>
      <c r="H63" s="104" t="s">
        <v>561</v>
      </c>
      <c r="I63" s="104" t="s">
        <v>569</v>
      </c>
      <c r="J63" s="891"/>
      <c r="K63" s="825"/>
      <c r="L63" s="891"/>
      <c r="M63" s="213">
        <v>6</v>
      </c>
      <c r="N63" s="106" t="s">
        <v>558</v>
      </c>
      <c r="O63" s="247">
        <f t="shared" si="0"/>
        <v>28.178611111111113</v>
      </c>
      <c r="P63" s="246"/>
    </row>
    <row r="64" spans="1:16" ht="17.100000000000001" customHeight="1">
      <c r="A64" s="838" t="s">
        <v>439</v>
      </c>
      <c r="B64" s="839"/>
      <c r="C64" s="95">
        <f>C38-2*C36*(1+0.2)</f>
        <v>60.8</v>
      </c>
      <c r="D64" s="14" t="s">
        <v>518</v>
      </c>
      <c r="F64" s="887"/>
      <c r="G64" s="210">
        <v>80</v>
      </c>
      <c r="H64" s="104" t="s">
        <v>570</v>
      </c>
      <c r="I64" s="893" t="s">
        <v>562</v>
      </c>
      <c r="J64" s="891">
        <v>35</v>
      </c>
      <c r="K64" s="825">
        <v>142</v>
      </c>
      <c r="L64" s="891">
        <v>17.75</v>
      </c>
      <c r="M64" s="892">
        <v>1</v>
      </c>
      <c r="N64" s="889" t="s">
        <v>559</v>
      </c>
      <c r="O64" s="890">
        <f t="shared" si="0"/>
        <v>3.2244444444444444</v>
      </c>
      <c r="P64" s="246"/>
    </row>
    <row r="65" spans="1:16" ht="17.100000000000001" customHeight="1">
      <c r="A65" s="838" t="s">
        <v>435</v>
      </c>
      <c r="B65" s="839"/>
      <c r="C65" s="61">
        <v>206000</v>
      </c>
      <c r="D65" s="14" t="s">
        <v>455</v>
      </c>
      <c r="F65" s="887"/>
      <c r="G65" s="210">
        <v>100</v>
      </c>
      <c r="H65" s="104" t="s">
        <v>571</v>
      </c>
      <c r="I65" s="893"/>
      <c r="J65" s="891"/>
      <c r="K65" s="825"/>
      <c r="L65" s="891"/>
      <c r="M65" s="892"/>
      <c r="N65" s="889"/>
      <c r="O65" s="890"/>
      <c r="P65" s="246"/>
    </row>
    <row r="66" spans="1:16" ht="16.5" customHeight="1">
      <c r="A66" s="838" t="s">
        <v>436</v>
      </c>
      <c r="B66" s="839"/>
      <c r="C66" s="95">
        <f>PI()*C64^4/64</f>
        <v>670786.34898796608</v>
      </c>
      <c r="D66" s="14" t="s">
        <v>440</v>
      </c>
      <c r="F66" s="887">
        <v>2.5</v>
      </c>
      <c r="G66" s="248"/>
      <c r="H66" s="104"/>
      <c r="I66" s="104"/>
      <c r="J66" s="891">
        <v>28</v>
      </c>
      <c r="K66" s="825">
        <v>175</v>
      </c>
      <c r="L66" s="891">
        <v>11.2</v>
      </c>
      <c r="M66" s="213">
        <v>1</v>
      </c>
      <c r="N66" s="106" t="s">
        <v>555</v>
      </c>
      <c r="O66" s="247">
        <f t="shared" si="0"/>
        <v>5.1022222222222222</v>
      </c>
      <c r="P66" s="246"/>
    </row>
    <row r="67" spans="1:16" ht="17.100000000000001" customHeight="1">
      <c r="A67" s="838" t="s">
        <v>437</v>
      </c>
      <c r="B67" s="839"/>
      <c r="C67" s="89">
        <f>C38/1000</f>
        <v>0.08</v>
      </c>
      <c r="D67" s="14" t="s">
        <v>438</v>
      </c>
      <c r="F67" s="887"/>
      <c r="G67" s="210">
        <v>50</v>
      </c>
      <c r="H67" s="104" t="s">
        <v>572</v>
      </c>
      <c r="I67" s="104" t="s">
        <v>567</v>
      </c>
      <c r="J67" s="891"/>
      <c r="K67" s="825"/>
      <c r="L67" s="891"/>
      <c r="M67" s="213">
        <v>2</v>
      </c>
      <c r="N67" s="106" t="s">
        <v>556</v>
      </c>
      <c r="O67" s="247">
        <f t="shared" si="0"/>
        <v>10.124722222222223</v>
      </c>
      <c r="P67" s="246"/>
    </row>
    <row r="68" spans="1:16" ht="17.100000000000001" customHeight="1">
      <c r="A68" s="838" t="s">
        <v>456</v>
      </c>
      <c r="B68" s="839"/>
      <c r="C68" s="89">
        <f>(C61^2+C62^2)^(1/2)*C63^3/(48*C65*C66)</f>
        <v>1.0150267934023963E-2</v>
      </c>
      <c r="D68" s="14"/>
      <c r="F68" s="887"/>
      <c r="G68" s="111">
        <v>-63</v>
      </c>
      <c r="H68" s="104" t="s">
        <v>560</v>
      </c>
      <c r="I68" s="104" t="s">
        <v>568</v>
      </c>
      <c r="J68" s="891"/>
      <c r="K68" s="825"/>
      <c r="L68" s="891"/>
      <c r="M68" s="213">
        <v>4</v>
      </c>
      <c r="N68" s="106" t="s">
        <v>557</v>
      </c>
      <c r="O68" s="247">
        <f t="shared" si="0"/>
        <v>19.653888888888886</v>
      </c>
      <c r="P68" s="246"/>
    </row>
    <row r="69" spans="1:16" ht="17.100000000000001" customHeight="1">
      <c r="A69" s="68" t="s">
        <v>424</v>
      </c>
      <c r="B69" s="216" t="str">
        <f>IF(OR(C68&lt;C67,C68=C67),"y≤[y]","y＞[y]")</f>
        <v>y≤[y]</v>
      </c>
      <c r="C69" s="899" t="str">
        <f>IF(OR(C68&lt;C67,C68=C67),"校核通过","校核不通过，请重新选取")</f>
        <v>校核通过</v>
      </c>
      <c r="D69" s="900"/>
      <c r="F69" s="887"/>
      <c r="G69" s="111">
        <v>-80</v>
      </c>
      <c r="H69" s="104" t="s">
        <v>574</v>
      </c>
      <c r="I69" s="104" t="s">
        <v>573</v>
      </c>
      <c r="J69" s="891"/>
      <c r="K69" s="825"/>
      <c r="L69" s="891"/>
      <c r="M69" s="213">
        <v>6</v>
      </c>
      <c r="N69" s="106" t="s">
        <v>558</v>
      </c>
      <c r="O69" s="247">
        <f t="shared" si="0"/>
        <v>28.178611111111113</v>
      </c>
      <c r="P69" s="246"/>
    </row>
    <row r="70" spans="1:16" ht="17.100000000000001" customHeight="1">
      <c r="A70" s="25"/>
      <c r="D70" s="25"/>
      <c r="F70" s="887"/>
      <c r="G70" s="210">
        <v>100</v>
      </c>
      <c r="H70" s="104" t="s">
        <v>583</v>
      </c>
      <c r="I70" s="104" t="s">
        <v>584</v>
      </c>
      <c r="J70" s="211">
        <v>45</v>
      </c>
      <c r="K70" s="212">
        <v>281.25</v>
      </c>
      <c r="L70" s="211">
        <v>18</v>
      </c>
      <c r="M70" s="213">
        <v>1</v>
      </c>
      <c r="N70" s="249" t="s">
        <v>491</v>
      </c>
      <c r="O70" s="250">
        <f t="shared" si="0"/>
        <v>3.1797222222222219</v>
      </c>
      <c r="P70" s="246"/>
    </row>
    <row r="71" spans="1:16" ht="17.100000000000001" customHeight="1">
      <c r="A71" s="831" t="s">
        <v>533</v>
      </c>
      <c r="B71" s="832"/>
      <c r="C71" s="832"/>
      <c r="D71" s="833"/>
      <c r="F71" s="887">
        <v>3.15</v>
      </c>
      <c r="G71" s="251"/>
      <c r="H71" s="203"/>
      <c r="I71" s="203"/>
      <c r="J71" s="891">
        <v>35</v>
      </c>
      <c r="K71" s="825">
        <v>352.25</v>
      </c>
      <c r="L71" s="891">
        <v>11.27</v>
      </c>
      <c r="M71" s="213">
        <v>1</v>
      </c>
      <c r="N71" s="106" t="s">
        <v>575</v>
      </c>
      <c r="O71" s="247">
        <f t="shared" si="0"/>
        <v>5.0708333333333329</v>
      </c>
      <c r="P71" s="246"/>
    </row>
    <row r="72" spans="1:16" ht="17.100000000000001" customHeight="1">
      <c r="A72" s="838" t="s">
        <v>545</v>
      </c>
      <c r="B72" s="839"/>
      <c r="C72" s="260">
        <v>17</v>
      </c>
      <c r="D72" s="16" t="s">
        <v>546</v>
      </c>
      <c r="F72" s="887"/>
      <c r="G72" s="210">
        <v>63</v>
      </c>
      <c r="H72" s="104" t="s">
        <v>572</v>
      </c>
      <c r="I72" s="104" t="s">
        <v>581</v>
      </c>
      <c r="J72" s="891"/>
      <c r="K72" s="825"/>
      <c r="L72" s="891"/>
      <c r="M72" s="213">
        <v>2</v>
      </c>
      <c r="N72" s="106" t="s">
        <v>576</v>
      </c>
      <c r="O72" s="247">
        <f t="shared" si="0"/>
        <v>10.063333333333334</v>
      </c>
      <c r="P72" s="246"/>
    </row>
    <row r="73" spans="1:16" ht="17.100000000000001" customHeight="1">
      <c r="A73" s="838" t="s">
        <v>540</v>
      </c>
      <c r="B73" s="839"/>
      <c r="C73" s="260">
        <v>65</v>
      </c>
      <c r="D73" s="102" t="s">
        <v>539</v>
      </c>
      <c r="F73" s="887"/>
      <c r="G73" s="111">
        <v>-80</v>
      </c>
      <c r="H73" s="104" t="s">
        <v>580</v>
      </c>
      <c r="I73" s="104" t="s">
        <v>582</v>
      </c>
      <c r="J73" s="891"/>
      <c r="K73" s="825"/>
      <c r="L73" s="891"/>
      <c r="M73" s="213">
        <v>4</v>
      </c>
      <c r="N73" s="106" t="s">
        <v>577</v>
      </c>
      <c r="O73" s="247">
        <f t="shared" si="0"/>
        <v>19.541388888888889</v>
      </c>
      <c r="P73" s="246"/>
    </row>
    <row r="74" spans="1:16" ht="17.100000000000001" customHeight="1">
      <c r="A74" s="838" t="s">
        <v>537</v>
      </c>
      <c r="B74" s="839"/>
      <c r="C74" s="95">
        <v>20</v>
      </c>
      <c r="D74" s="14" t="s">
        <v>534</v>
      </c>
      <c r="F74" s="887"/>
      <c r="G74" s="210">
        <v>100</v>
      </c>
      <c r="H74" s="104" t="s">
        <v>585</v>
      </c>
      <c r="I74" s="104" t="s">
        <v>586</v>
      </c>
      <c r="J74" s="891"/>
      <c r="K74" s="825"/>
      <c r="L74" s="891"/>
      <c r="M74" s="213">
        <v>6</v>
      </c>
      <c r="N74" s="106" t="s">
        <v>578</v>
      </c>
      <c r="O74" s="247">
        <f t="shared" si="0"/>
        <v>28.030555555555555</v>
      </c>
      <c r="P74" s="246"/>
    </row>
    <row r="75" spans="1:16" ht="17.100000000000001" customHeight="1">
      <c r="A75" s="838" t="s">
        <v>541</v>
      </c>
      <c r="B75" s="839"/>
      <c r="C75" s="95">
        <f>1000*C15*(1-C45)/(C72*(80-C74))</f>
        <v>1.2480906942030439</v>
      </c>
      <c r="D75" s="14"/>
      <c r="F75" s="887"/>
      <c r="G75" s="210">
        <v>125</v>
      </c>
      <c r="H75" s="104" t="s">
        <v>583</v>
      </c>
      <c r="I75" s="104" t="s">
        <v>587</v>
      </c>
      <c r="J75" s="211">
        <v>56</v>
      </c>
      <c r="K75" s="212">
        <v>555.66</v>
      </c>
      <c r="L75" s="211">
        <v>17.777999999999999</v>
      </c>
      <c r="M75" s="213">
        <v>1</v>
      </c>
      <c r="N75" s="249" t="s">
        <v>579</v>
      </c>
      <c r="O75" s="250">
        <f t="shared" si="0"/>
        <v>3.2194444444444446</v>
      </c>
      <c r="P75" s="246"/>
    </row>
    <row r="76" spans="1:16" ht="17.100000000000001" customHeight="1">
      <c r="A76" s="838" t="s">
        <v>542</v>
      </c>
      <c r="B76" s="839"/>
      <c r="C76" s="95"/>
      <c r="D76" s="14" t="s">
        <v>543</v>
      </c>
      <c r="F76" s="887">
        <v>4</v>
      </c>
      <c r="G76" s="107"/>
      <c r="H76" s="105"/>
      <c r="I76" s="105"/>
      <c r="J76" s="891">
        <v>40</v>
      </c>
      <c r="K76" s="825">
        <v>640</v>
      </c>
      <c r="L76" s="891">
        <v>10</v>
      </c>
      <c r="M76" s="213">
        <v>1</v>
      </c>
      <c r="N76" s="106" t="s">
        <v>588</v>
      </c>
      <c r="O76" s="247">
        <f t="shared" si="0"/>
        <v>5.7105555555555556</v>
      </c>
      <c r="P76" s="246"/>
    </row>
    <row r="77" spans="1:16" ht="17.100000000000001" customHeight="1">
      <c r="A77" s="838" t="s">
        <v>538</v>
      </c>
      <c r="B77" s="839"/>
      <c r="C77" s="65">
        <f>1000*C15*(1-C45)/(C72*(C73-C74))</f>
        <v>1.6641209256040586</v>
      </c>
      <c r="D77" s="14"/>
      <c r="F77" s="887"/>
      <c r="G77" s="210">
        <v>80</v>
      </c>
      <c r="H77" s="104" t="s">
        <v>604</v>
      </c>
      <c r="I77" s="104" t="s">
        <v>607</v>
      </c>
      <c r="J77" s="891"/>
      <c r="K77" s="825"/>
      <c r="L77" s="891"/>
      <c r="M77" s="213">
        <v>2</v>
      </c>
      <c r="N77" s="106" t="s">
        <v>590</v>
      </c>
      <c r="O77" s="247">
        <f t="shared" si="0"/>
        <v>11.31</v>
      </c>
      <c r="P77" s="246"/>
    </row>
    <row r="78" spans="1:16" ht="17.100000000000001" customHeight="1">
      <c r="A78" s="861" t="s">
        <v>544</v>
      </c>
      <c r="B78" s="909"/>
      <c r="C78" s="909"/>
      <c r="D78" s="862"/>
      <c r="F78" s="887"/>
      <c r="G78" s="111">
        <v>-100</v>
      </c>
      <c r="H78" s="104" t="s">
        <v>605</v>
      </c>
      <c r="I78" s="104" t="s">
        <v>606</v>
      </c>
      <c r="J78" s="891"/>
      <c r="K78" s="825"/>
      <c r="L78" s="891"/>
      <c r="M78" s="213">
        <v>4</v>
      </c>
      <c r="N78" s="106" t="s">
        <v>589</v>
      </c>
      <c r="O78" s="247">
        <f t="shared" si="0"/>
        <v>21.801388888888891</v>
      </c>
      <c r="P78" s="246"/>
    </row>
    <row r="79" spans="1:16" ht="17.100000000000001" customHeight="1">
      <c r="A79" s="919" t="s">
        <v>548</v>
      </c>
      <c r="B79" s="920"/>
      <c r="C79" s="920"/>
      <c r="D79" s="920"/>
      <c r="F79" s="887"/>
      <c r="G79" s="112">
        <v>-125</v>
      </c>
      <c r="H79" s="104" t="s">
        <v>609</v>
      </c>
      <c r="I79" s="104" t="s">
        <v>608</v>
      </c>
      <c r="J79" s="891"/>
      <c r="K79" s="825"/>
      <c r="L79" s="891"/>
      <c r="M79" s="213">
        <v>6</v>
      </c>
      <c r="N79" s="106" t="s">
        <v>591</v>
      </c>
      <c r="O79" s="247">
        <f t="shared" si="0"/>
        <v>30.963888888888889</v>
      </c>
      <c r="P79" s="246"/>
    </row>
    <row r="80" spans="1:16" ht="17.100000000000001" customHeight="1">
      <c r="A80" s="921"/>
      <c r="B80" s="921"/>
      <c r="C80" s="921"/>
      <c r="D80" s="921"/>
      <c r="F80" s="887"/>
      <c r="G80" s="210">
        <v>160</v>
      </c>
      <c r="H80" s="105" t="s">
        <v>583</v>
      </c>
      <c r="I80" s="104" t="s">
        <v>593</v>
      </c>
      <c r="J80" s="211">
        <v>71</v>
      </c>
      <c r="K80" s="212">
        <v>1136</v>
      </c>
      <c r="L80" s="211">
        <v>17.75</v>
      </c>
      <c r="M80" s="213">
        <v>1</v>
      </c>
      <c r="N80" s="249" t="s">
        <v>592</v>
      </c>
      <c r="O80" s="250">
        <f t="shared" si="0"/>
        <v>3.2244444444444444</v>
      </c>
      <c r="P80" s="246"/>
    </row>
    <row r="81" spans="1:16" ht="17.100000000000001" customHeight="1">
      <c r="A81" s="921"/>
      <c r="B81" s="921"/>
      <c r="C81" s="921"/>
      <c r="D81" s="921"/>
      <c r="F81" s="887">
        <v>5</v>
      </c>
      <c r="G81" s="252">
        <v>100</v>
      </c>
      <c r="H81" s="253">
        <v>31</v>
      </c>
      <c r="I81" s="253" t="s">
        <v>614</v>
      </c>
      <c r="J81" s="891">
        <v>50</v>
      </c>
      <c r="K81" s="825">
        <v>1250</v>
      </c>
      <c r="L81" s="891">
        <v>10</v>
      </c>
      <c r="M81" s="213">
        <v>1</v>
      </c>
      <c r="N81" s="106" t="s">
        <v>588</v>
      </c>
      <c r="O81" s="247">
        <f t="shared" si="0"/>
        <v>5.7105555555555556</v>
      </c>
      <c r="P81" s="246"/>
    </row>
    <row r="82" spans="1:16" ht="17.100000000000001" customHeight="1">
      <c r="A82" s="921"/>
      <c r="B82" s="921"/>
      <c r="C82" s="921"/>
      <c r="D82" s="921"/>
      <c r="F82" s="887"/>
      <c r="G82" s="254" t="s">
        <v>610</v>
      </c>
      <c r="H82" s="253" t="s">
        <v>605</v>
      </c>
      <c r="I82" s="255" t="s">
        <v>615</v>
      </c>
      <c r="J82" s="891"/>
      <c r="K82" s="825"/>
      <c r="L82" s="891"/>
      <c r="M82" s="213">
        <v>2</v>
      </c>
      <c r="N82" s="106" t="s">
        <v>590</v>
      </c>
      <c r="O82" s="247">
        <f t="shared" si="0"/>
        <v>11.31</v>
      </c>
      <c r="P82" s="246"/>
    </row>
    <row r="83" spans="1:16" ht="17.100000000000001" customHeight="1">
      <c r="A83" s="25"/>
      <c r="D83" s="37"/>
      <c r="F83" s="887"/>
      <c r="G83" s="254" t="s">
        <v>611</v>
      </c>
      <c r="H83" s="253" t="s">
        <v>585</v>
      </c>
      <c r="I83" s="253" t="s">
        <v>617</v>
      </c>
      <c r="J83" s="891"/>
      <c r="K83" s="825"/>
      <c r="L83" s="891"/>
      <c r="M83" s="213">
        <v>4</v>
      </c>
      <c r="N83" s="106" t="s">
        <v>589</v>
      </c>
      <c r="O83" s="247">
        <f t="shared" si="0"/>
        <v>21.801388888888891</v>
      </c>
      <c r="P83" s="246"/>
    </row>
    <row r="84" spans="1:16" ht="17.100000000000001" customHeight="1">
      <c r="A84" s="918"/>
      <c r="B84" s="918"/>
      <c r="C84" s="918"/>
      <c r="D84" s="918"/>
      <c r="F84" s="887"/>
      <c r="G84" s="254" t="s">
        <v>612</v>
      </c>
      <c r="H84" s="253" t="s">
        <v>613</v>
      </c>
      <c r="I84" s="253" t="s">
        <v>616</v>
      </c>
      <c r="J84" s="891"/>
      <c r="K84" s="825"/>
      <c r="L84" s="891"/>
      <c r="M84" s="213">
        <v>6</v>
      </c>
      <c r="N84" s="106" t="s">
        <v>591</v>
      </c>
      <c r="O84" s="247">
        <f t="shared" si="0"/>
        <v>30.963888888888889</v>
      </c>
      <c r="P84" s="246"/>
    </row>
    <row r="85" spans="1:16" ht="17.100000000000001" customHeight="1">
      <c r="A85" s="25"/>
      <c r="D85" s="25"/>
      <c r="F85" s="887"/>
      <c r="G85" s="210">
        <v>200</v>
      </c>
      <c r="H85" s="104" t="s">
        <v>583</v>
      </c>
      <c r="I85" s="104" t="s">
        <v>584</v>
      </c>
      <c r="J85" s="211">
        <v>90</v>
      </c>
      <c r="K85" s="212">
        <v>2250</v>
      </c>
      <c r="L85" s="211">
        <v>18</v>
      </c>
      <c r="M85" s="213">
        <v>1</v>
      </c>
      <c r="N85" s="249" t="s">
        <v>594</v>
      </c>
      <c r="O85" s="250">
        <f t="shared" si="0"/>
        <v>3.1797222222222219</v>
      </c>
      <c r="P85" s="246"/>
    </row>
    <row r="86" spans="1:16" ht="17.100000000000001" customHeight="1">
      <c r="A86" s="25"/>
      <c r="D86" s="25"/>
      <c r="F86" s="887">
        <v>6.3</v>
      </c>
      <c r="G86" s="252" t="s">
        <v>618</v>
      </c>
      <c r="H86" s="253" t="s">
        <v>604</v>
      </c>
      <c r="I86" s="253" t="s">
        <v>621</v>
      </c>
      <c r="J86" s="891">
        <v>63</v>
      </c>
      <c r="K86" s="825">
        <v>2500.4699999999998</v>
      </c>
      <c r="L86" s="891">
        <v>10</v>
      </c>
      <c r="M86" s="213">
        <v>1</v>
      </c>
      <c r="N86" s="212" t="s">
        <v>588</v>
      </c>
      <c r="O86" s="247">
        <f t="shared" si="0"/>
        <v>5.7105555555555556</v>
      </c>
      <c r="P86" s="246"/>
    </row>
    <row r="87" spans="1:16" ht="17.100000000000001" customHeight="1">
      <c r="A87" s="25"/>
      <c r="D87" s="25"/>
      <c r="F87" s="887"/>
      <c r="G87" s="254" t="s">
        <v>611</v>
      </c>
      <c r="H87" s="253" t="s">
        <v>605</v>
      </c>
      <c r="I87" s="253" t="s">
        <v>622</v>
      </c>
      <c r="J87" s="891"/>
      <c r="K87" s="825"/>
      <c r="L87" s="891"/>
      <c r="M87" s="213">
        <v>2</v>
      </c>
      <c r="N87" s="212" t="s">
        <v>590</v>
      </c>
      <c r="O87" s="247">
        <f t="shared" si="0"/>
        <v>11.31</v>
      </c>
      <c r="P87" s="246"/>
    </row>
    <row r="88" spans="1:16" ht="17.100000000000001" customHeight="1">
      <c r="A88" s="25"/>
      <c r="D88" s="25"/>
      <c r="F88" s="887"/>
      <c r="G88" s="254" t="s">
        <v>612</v>
      </c>
      <c r="H88" s="253" t="s">
        <v>620</v>
      </c>
      <c r="I88" s="253" t="s">
        <v>623</v>
      </c>
      <c r="J88" s="891"/>
      <c r="K88" s="825"/>
      <c r="L88" s="891"/>
      <c r="M88" s="213">
        <v>4</v>
      </c>
      <c r="N88" s="212" t="s">
        <v>589</v>
      </c>
      <c r="O88" s="247">
        <f t="shared" si="0"/>
        <v>21.801388888888891</v>
      </c>
      <c r="P88" s="246"/>
    </row>
    <row r="89" spans="1:16" ht="17.100000000000001" customHeight="1">
      <c r="A89" s="25"/>
      <c r="D89" s="25"/>
      <c r="F89" s="887"/>
      <c r="G89" s="254" t="s">
        <v>619</v>
      </c>
      <c r="H89" s="253" t="s">
        <v>585</v>
      </c>
      <c r="I89" s="253" t="s">
        <v>624</v>
      </c>
      <c r="J89" s="891"/>
      <c r="K89" s="825"/>
      <c r="L89" s="891"/>
      <c r="M89" s="213">
        <v>6</v>
      </c>
      <c r="N89" s="212" t="s">
        <v>591</v>
      </c>
      <c r="O89" s="247">
        <f t="shared" si="0"/>
        <v>30.963888888888889</v>
      </c>
      <c r="P89" s="246"/>
    </row>
    <row r="90" spans="1:16" ht="17.100000000000001" customHeight="1">
      <c r="A90" s="229" t="s">
        <v>634</v>
      </c>
      <c r="B90" s="222"/>
      <c r="C90" s="222"/>
      <c r="D90" s="222"/>
      <c r="F90" s="887"/>
      <c r="G90" s="210">
        <v>250</v>
      </c>
      <c r="H90" s="104" t="s">
        <v>596</v>
      </c>
      <c r="I90" s="104" t="s">
        <v>597</v>
      </c>
      <c r="J90" s="211">
        <v>112</v>
      </c>
      <c r="K90" s="212">
        <v>4445.28</v>
      </c>
      <c r="L90" s="211">
        <v>17.777999999999999</v>
      </c>
      <c r="M90" s="213">
        <v>1</v>
      </c>
      <c r="N90" s="249" t="s">
        <v>595</v>
      </c>
      <c r="O90" s="250">
        <f t="shared" si="0"/>
        <v>3.2194444444444446</v>
      </c>
      <c r="P90" s="246"/>
    </row>
    <row r="91" spans="1:16" ht="17.100000000000001" customHeight="1">
      <c r="A91" s="25" t="s">
        <v>691</v>
      </c>
      <c r="B91" s="25"/>
      <c r="C91" s="25"/>
      <c r="D91" s="25"/>
      <c r="F91" s="887">
        <v>8</v>
      </c>
      <c r="G91" s="252" t="s">
        <v>625</v>
      </c>
      <c r="H91" s="253" t="s">
        <v>604</v>
      </c>
      <c r="I91" s="253" t="s">
        <v>614</v>
      </c>
      <c r="J91" s="891">
        <v>80</v>
      </c>
      <c r="K91" s="825">
        <v>5120</v>
      </c>
      <c r="L91" s="891">
        <v>10</v>
      </c>
      <c r="M91" s="213">
        <v>1</v>
      </c>
      <c r="N91" s="212" t="s">
        <v>598</v>
      </c>
      <c r="O91" s="247">
        <f t="shared" si="0"/>
        <v>5.7105555555555556</v>
      </c>
      <c r="P91" s="246"/>
    </row>
    <row r="92" spans="1:16" ht="17.100000000000001" customHeight="1">
      <c r="A92" s="77" t="s">
        <v>379</v>
      </c>
      <c r="B92" s="201" t="s">
        <v>380</v>
      </c>
      <c r="C92" s="201" t="s">
        <v>381</v>
      </c>
      <c r="D92" s="201" t="s">
        <v>382</v>
      </c>
      <c r="F92" s="887"/>
      <c r="G92" s="254" t="s">
        <v>619</v>
      </c>
      <c r="H92" s="253" t="s">
        <v>605</v>
      </c>
      <c r="I92" s="253" t="s">
        <v>616</v>
      </c>
      <c r="J92" s="891"/>
      <c r="K92" s="825"/>
      <c r="L92" s="891"/>
      <c r="M92" s="213">
        <v>2</v>
      </c>
      <c r="N92" s="212" t="s">
        <v>590</v>
      </c>
      <c r="O92" s="247">
        <f t="shared" si="0"/>
        <v>11.31</v>
      </c>
      <c r="P92" s="246"/>
    </row>
    <row r="93" spans="1:16" ht="17.100000000000001" customHeight="1">
      <c r="A93" s="847" t="s">
        <v>383</v>
      </c>
      <c r="B93" s="75" t="s">
        <v>386</v>
      </c>
      <c r="C93" s="207">
        <v>40</v>
      </c>
      <c r="D93" s="207">
        <v>29</v>
      </c>
      <c r="F93" s="887"/>
      <c r="G93" s="254" t="s">
        <v>626</v>
      </c>
      <c r="H93" s="253" t="s">
        <v>628</v>
      </c>
      <c r="I93" s="253" t="s">
        <v>630</v>
      </c>
      <c r="J93" s="891"/>
      <c r="K93" s="825"/>
      <c r="L93" s="891"/>
      <c r="M93" s="213">
        <v>4</v>
      </c>
      <c r="N93" s="212" t="s">
        <v>599</v>
      </c>
      <c r="O93" s="247">
        <f t="shared" si="0"/>
        <v>21.801388888888891</v>
      </c>
      <c r="P93" s="246"/>
    </row>
    <row r="94" spans="1:16" ht="17.100000000000001" customHeight="1">
      <c r="A94" s="847"/>
      <c r="B94" s="208" t="s">
        <v>387</v>
      </c>
      <c r="C94" s="208">
        <v>56</v>
      </c>
      <c r="D94" s="208">
        <v>40</v>
      </c>
      <c r="F94" s="887"/>
      <c r="G94" s="254" t="s">
        <v>627</v>
      </c>
      <c r="H94" s="253" t="s">
        <v>629</v>
      </c>
      <c r="I94" s="253" t="s">
        <v>631</v>
      </c>
      <c r="J94" s="891"/>
      <c r="K94" s="825"/>
      <c r="L94" s="891"/>
      <c r="M94" s="213">
        <v>6</v>
      </c>
      <c r="N94" s="212" t="s">
        <v>600</v>
      </c>
      <c r="O94" s="247">
        <f t="shared" si="0"/>
        <v>30.963888888888889</v>
      </c>
      <c r="P94" s="246"/>
    </row>
    <row r="95" spans="1:16" ht="17.100000000000001" customHeight="1">
      <c r="A95" s="913" t="s">
        <v>384</v>
      </c>
      <c r="B95" s="75" t="s">
        <v>386</v>
      </c>
      <c r="C95" s="208">
        <v>26</v>
      </c>
      <c r="D95" s="208">
        <v>22</v>
      </c>
      <c r="F95" s="110" t="s">
        <v>633</v>
      </c>
      <c r="G95" s="256"/>
      <c r="H95" s="257"/>
      <c r="I95" s="257"/>
      <c r="J95" s="108"/>
      <c r="K95" s="108"/>
      <c r="L95" s="108"/>
      <c r="M95" s="109"/>
      <c r="N95" s="108"/>
      <c r="O95" s="258"/>
      <c r="P95" s="246"/>
    </row>
    <row r="96" spans="1:16" ht="17.100000000000001" customHeight="1">
      <c r="A96" s="799"/>
      <c r="B96" s="208" t="s">
        <v>387</v>
      </c>
      <c r="C96" s="208">
        <v>32</v>
      </c>
      <c r="D96" s="208">
        <v>26</v>
      </c>
      <c r="E96" s="229" t="s">
        <v>603</v>
      </c>
      <c r="F96" s="98"/>
      <c r="G96" s="103"/>
    </row>
    <row r="97" spans="1:16" ht="17.100000000000001" customHeight="1">
      <c r="A97" s="913" t="s">
        <v>385</v>
      </c>
      <c r="B97" s="75" t="s">
        <v>386</v>
      </c>
      <c r="C97" s="208">
        <v>80</v>
      </c>
      <c r="D97" s="208">
        <v>57</v>
      </c>
      <c r="E97" s="229"/>
      <c r="F97" s="97" t="s">
        <v>688</v>
      </c>
    </row>
    <row r="98" spans="1:16" ht="17.100000000000001" customHeight="1">
      <c r="A98" s="799"/>
      <c r="B98" s="208" t="s">
        <v>387</v>
      </c>
      <c r="C98" s="208">
        <v>90</v>
      </c>
      <c r="D98" s="208">
        <v>64</v>
      </c>
      <c r="E98" s="29"/>
      <c r="F98" s="26" t="s">
        <v>528</v>
      </c>
      <c r="G98" s="835" t="s">
        <v>522</v>
      </c>
      <c r="H98" s="836"/>
      <c r="I98" s="836"/>
      <c r="J98" s="837"/>
      <c r="K98" s="824" t="s">
        <v>525</v>
      </c>
      <c r="L98" s="824"/>
      <c r="M98" s="824" t="s">
        <v>526</v>
      </c>
      <c r="N98" s="824"/>
      <c r="O98" s="824"/>
      <c r="P98" s="824"/>
    </row>
    <row r="99" spans="1:16" ht="17.100000000000001" customHeight="1">
      <c r="A99" s="908" t="s">
        <v>146</v>
      </c>
      <c r="B99" s="208" t="s">
        <v>388</v>
      </c>
      <c r="C99" s="208">
        <v>40</v>
      </c>
      <c r="D99" s="208">
        <v>28</v>
      </c>
      <c r="F99" s="26" t="s">
        <v>527</v>
      </c>
      <c r="G99" s="835" t="s">
        <v>641</v>
      </c>
      <c r="H99" s="837"/>
      <c r="I99" s="824" t="s">
        <v>524</v>
      </c>
      <c r="J99" s="824"/>
      <c r="K99" s="26" t="s">
        <v>523</v>
      </c>
      <c r="L99" s="26" t="s">
        <v>524</v>
      </c>
      <c r="M99" s="824" t="s">
        <v>523</v>
      </c>
      <c r="N99" s="824"/>
      <c r="O99" s="824" t="s">
        <v>524</v>
      </c>
      <c r="P99" s="824"/>
    </row>
    <row r="100" spans="1:16" ht="17.100000000000001" customHeight="1">
      <c r="A100" s="799"/>
      <c r="B100" s="208" t="s">
        <v>389</v>
      </c>
      <c r="C100" s="208">
        <v>48</v>
      </c>
      <c r="D100" s="208">
        <v>34</v>
      </c>
      <c r="F100" s="26" t="s">
        <v>520</v>
      </c>
      <c r="G100" s="26" t="s">
        <v>529</v>
      </c>
      <c r="H100" s="26" t="s">
        <v>530</v>
      </c>
      <c r="I100" s="26" t="s">
        <v>529</v>
      </c>
      <c r="J100" s="26" t="s">
        <v>530</v>
      </c>
      <c r="K100" s="26" t="s">
        <v>529</v>
      </c>
      <c r="L100" s="26" t="s">
        <v>530</v>
      </c>
      <c r="M100" s="26" t="s">
        <v>529</v>
      </c>
      <c r="N100" s="26" t="s">
        <v>530</v>
      </c>
      <c r="O100" s="26" t="s">
        <v>529</v>
      </c>
      <c r="P100" s="26" t="s">
        <v>530</v>
      </c>
    </row>
    <row r="101" spans="1:16" ht="17.100000000000001" customHeight="1">
      <c r="A101" s="924" t="s">
        <v>692</v>
      </c>
      <c r="B101" s="924"/>
      <c r="C101" s="924"/>
      <c r="D101" s="924"/>
      <c r="F101" s="101">
        <v>0.01</v>
      </c>
      <c r="G101" s="99">
        <v>0.11</v>
      </c>
      <c r="H101" s="100">
        <v>6.2830000000000004</v>
      </c>
      <c r="I101" s="99">
        <v>0.12</v>
      </c>
      <c r="J101" s="100">
        <v>6.85</v>
      </c>
      <c r="K101" s="99">
        <v>0.18</v>
      </c>
      <c r="L101" s="100">
        <v>10.199999999999999</v>
      </c>
      <c r="M101" s="99">
        <v>0.18</v>
      </c>
      <c r="N101" s="100">
        <v>10.199999999999999</v>
      </c>
      <c r="O101" s="99">
        <v>0.19</v>
      </c>
      <c r="P101" s="100">
        <v>10.75</v>
      </c>
    </row>
    <row r="102" spans="1:16" ht="17.100000000000001" customHeight="1">
      <c r="A102" s="925"/>
      <c r="B102" s="925"/>
      <c r="C102" s="925"/>
      <c r="D102" s="925"/>
      <c r="F102" s="101">
        <v>0.05</v>
      </c>
      <c r="G102" s="99">
        <v>0.09</v>
      </c>
      <c r="H102" s="100">
        <v>5.15</v>
      </c>
      <c r="I102" s="99">
        <v>0.1</v>
      </c>
      <c r="J102" s="100">
        <v>5.7169999999999996</v>
      </c>
      <c r="K102" s="99">
        <v>0.14000000000000001</v>
      </c>
      <c r="L102" s="100">
        <v>7.9669999999999996</v>
      </c>
      <c r="M102" s="99">
        <v>0.14000000000000001</v>
      </c>
      <c r="N102" s="100">
        <v>7.9669999999999996</v>
      </c>
      <c r="O102" s="99">
        <v>0.16</v>
      </c>
      <c r="P102" s="100">
        <v>9.0830000000000002</v>
      </c>
    </row>
    <row r="103" spans="1:16" ht="17.100000000000001" customHeight="1" thickBot="1">
      <c r="A103" s="229"/>
      <c r="B103" s="222"/>
      <c r="C103" s="222"/>
      <c r="D103" s="222"/>
      <c r="F103" s="101">
        <v>0.1</v>
      </c>
      <c r="G103" s="99">
        <v>0.08</v>
      </c>
      <c r="H103" s="100">
        <v>4.5670000000000002</v>
      </c>
      <c r="I103" s="99">
        <v>0.09</v>
      </c>
      <c r="J103" s="100">
        <v>5.15</v>
      </c>
      <c r="K103" s="99">
        <v>0.13</v>
      </c>
      <c r="L103" s="100">
        <v>7.4</v>
      </c>
      <c r="M103" s="99">
        <v>0.13</v>
      </c>
      <c r="N103" s="100">
        <v>7.4</v>
      </c>
      <c r="O103" s="99">
        <v>0.14000000000000001</v>
      </c>
      <c r="P103" s="100">
        <v>7.9669999999999996</v>
      </c>
    </row>
    <row r="104" spans="1:16" ht="17.100000000000001" customHeight="1">
      <c r="A104" s="877" t="s">
        <v>693</v>
      </c>
      <c r="B104" s="878"/>
      <c r="C104" s="878"/>
      <c r="D104" s="879"/>
      <c r="F104" s="101">
        <v>0.25</v>
      </c>
      <c r="G104" s="99">
        <v>6.5000000000000002E-2</v>
      </c>
      <c r="H104" s="100">
        <v>3.7170000000000001</v>
      </c>
      <c r="I104" s="99">
        <v>7.4999999999999997E-2</v>
      </c>
      <c r="J104" s="100">
        <v>4.2830000000000004</v>
      </c>
      <c r="K104" s="99">
        <v>0.1</v>
      </c>
      <c r="L104" s="100">
        <v>5.7169999999999996</v>
      </c>
      <c r="M104" s="99">
        <v>0.1</v>
      </c>
      <c r="N104" s="100">
        <v>5.7169999999999996</v>
      </c>
      <c r="O104" s="99">
        <v>0.12</v>
      </c>
      <c r="P104" s="100">
        <v>0.85</v>
      </c>
    </row>
    <row r="105" spans="1:16" ht="17.100000000000001" customHeight="1">
      <c r="A105" s="880"/>
      <c r="B105" s="881"/>
      <c r="C105" s="881"/>
      <c r="D105" s="882"/>
      <c r="F105" s="101">
        <v>0.5</v>
      </c>
      <c r="G105" s="99">
        <v>5.5E-2</v>
      </c>
      <c r="H105" s="100">
        <v>3.15</v>
      </c>
      <c r="I105" s="99">
        <v>6.5000000000000002E-2</v>
      </c>
      <c r="J105" s="100">
        <v>3.7170000000000001</v>
      </c>
      <c r="K105" s="99">
        <v>0.09</v>
      </c>
      <c r="L105" s="100">
        <v>5.15</v>
      </c>
      <c r="M105" s="99">
        <v>0.09</v>
      </c>
      <c r="N105" s="100">
        <v>5.15</v>
      </c>
      <c r="O105" s="99">
        <v>0.1</v>
      </c>
      <c r="P105" s="100">
        <v>5.7169999999999996</v>
      </c>
    </row>
    <row r="106" spans="1:16" ht="17.100000000000001" customHeight="1">
      <c r="A106" s="880"/>
      <c r="B106" s="881"/>
      <c r="C106" s="881"/>
      <c r="D106" s="882"/>
      <c r="F106" s="101">
        <v>1</v>
      </c>
      <c r="G106" s="99">
        <v>4.4999999999999998E-2</v>
      </c>
      <c r="H106" s="100">
        <v>2.7669999999999999</v>
      </c>
      <c r="I106" s="99">
        <v>5.5E-2</v>
      </c>
      <c r="J106" s="100">
        <v>3.15</v>
      </c>
      <c r="K106" s="99">
        <v>7.0000000000000007E-2</v>
      </c>
      <c r="L106" s="100">
        <v>4</v>
      </c>
      <c r="M106" s="99">
        <v>7.0000000000000007E-2</v>
      </c>
      <c r="N106" s="100">
        <v>4</v>
      </c>
      <c r="O106" s="99">
        <v>0.09</v>
      </c>
      <c r="P106" s="100">
        <v>5.15</v>
      </c>
    </row>
    <row r="107" spans="1:16" ht="17.100000000000001" customHeight="1">
      <c r="A107" s="880"/>
      <c r="B107" s="881"/>
      <c r="C107" s="881"/>
      <c r="D107" s="882"/>
      <c r="F107" s="101">
        <v>1.5</v>
      </c>
      <c r="G107" s="99">
        <v>0.04</v>
      </c>
      <c r="H107" s="100">
        <v>2.2829999999999999</v>
      </c>
      <c r="I107" s="99">
        <v>0.05</v>
      </c>
      <c r="J107" s="100">
        <v>2.867</v>
      </c>
      <c r="K107" s="99">
        <v>6.5000000000000002E-2</v>
      </c>
      <c r="L107" s="100">
        <v>3.7170000000000001</v>
      </c>
      <c r="M107" s="99">
        <v>6.5000000000000002E-2</v>
      </c>
      <c r="N107" s="100">
        <v>3.7170000000000001</v>
      </c>
      <c r="O107" s="99">
        <v>0.08</v>
      </c>
      <c r="P107" s="100">
        <v>4.5670000000000002</v>
      </c>
    </row>
    <row r="108" spans="1:16" ht="17.100000000000001" customHeight="1">
      <c r="A108" s="880"/>
      <c r="B108" s="881"/>
      <c r="C108" s="881"/>
      <c r="D108" s="882"/>
      <c r="F108" s="101">
        <v>2</v>
      </c>
      <c r="G108" s="99">
        <v>3.5000000000000003E-2</v>
      </c>
      <c r="H108" s="100">
        <v>2</v>
      </c>
      <c r="I108" s="99">
        <v>4.4999999999999998E-2</v>
      </c>
      <c r="J108" s="100">
        <v>2.5830000000000002</v>
      </c>
      <c r="K108" s="99">
        <v>5.5E-2</v>
      </c>
      <c r="L108" s="100">
        <v>3.15</v>
      </c>
      <c r="M108" s="99">
        <v>5.5E-2</v>
      </c>
      <c r="N108" s="100">
        <v>3.15</v>
      </c>
      <c r="O108" s="99">
        <v>7.0000000000000007E-2</v>
      </c>
      <c r="P108" s="100">
        <v>4</v>
      </c>
    </row>
    <row r="109" spans="1:16" ht="17.100000000000001" customHeight="1">
      <c r="A109" s="880"/>
      <c r="B109" s="881"/>
      <c r="C109" s="881"/>
      <c r="D109" s="882"/>
      <c r="F109" s="101">
        <v>2.5</v>
      </c>
      <c r="G109" s="99">
        <v>0.03</v>
      </c>
      <c r="H109" s="100">
        <v>1.7170000000000001</v>
      </c>
      <c r="I109" s="99">
        <v>0.04</v>
      </c>
      <c r="J109" s="100">
        <v>2.2829999999999999</v>
      </c>
      <c r="K109" s="99">
        <v>0.05</v>
      </c>
      <c r="L109" s="100">
        <v>2.867</v>
      </c>
      <c r="M109" s="99"/>
      <c r="N109" s="99"/>
      <c r="O109" s="99"/>
      <c r="P109" s="99"/>
    </row>
    <row r="110" spans="1:16" ht="17.100000000000001" customHeight="1">
      <c r="A110" s="880"/>
      <c r="B110" s="881"/>
      <c r="C110" s="881"/>
      <c r="D110" s="882"/>
      <c r="F110" s="101">
        <v>3</v>
      </c>
      <c r="G110" s="99">
        <v>2.8000000000000001E-2</v>
      </c>
      <c r="H110" s="100">
        <v>1.6</v>
      </c>
      <c r="I110" s="99">
        <v>3.5000000000000003E-2</v>
      </c>
      <c r="J110" s="100">
        <v>2</v>
      </c>
      <c r="K110" s="99">
        <v>4.4999999999999998E-2</v>
      </c>
      <c r="L110" s="100">
        <v>2.5830000000000002</v>
      </c>
      <c r="M110" s="99"/>
      <c r="N110" s="99"/>
      <c r="O110" s="99"/>
      <c r="P110" s="99"/>
    </row>
    <row r="111" spans="1:16" ht="17.100000000000001" customHeight="1">
      <c r="A111" s="880"/>
      <c r="B111" s="881"/>
      <c r="C111" s="881"/>
      <c r="D111" s="882"/>
      <c r="F111" s="101">
        <v>4</v>
      </c>
      <c r="G111" s="99">
        <v>2.4E-2</v>
      </c>
      <c r="H111" s="100">
        <v>1.367</v>
      </c>
      <c r="I111" s="99">
        <v>3.1E-2</v>
      </c>
      <c r="J111" s="100">
        <v>1.7829999999999999</v>
      </c>
      <c r="K111" s="99">
        <v>0.04</v>
      </c>
      <c r="L111" s="100">
        <v>2.2829999999999999</v>
      </c>
      <c r="M111" s="99"/>
      <c r="N111" s="99"/>
      <c r="O111" s="99"/>
      <c r="P111" s="99"/>
    </row>
    <row r="112" spans="1:16" ht="17.100000000000001" customHeight="1">
      <c r="A112" s="880"/>
      <c r="B112" s="881"/>
      <c r="C112" s="881"/>
      <c r="D112" s="882"/>
      <c r="F112" s="101">
        <v>5</v>
      </c>
      <c r="G112" s="99">
        <v>2.1999999999999999E-2</v>
      </c>
      <c r="H112" s="100">
        <v>1.2669999999999999</v>
      </c>
      <c r="I112" s="99">
        <v>2.9000000000000001E-2</v>
      </c>
      <c r="J112" s="100">
        <v>1.667</v>
      </c>
      <c r="K112" s="99">
        <v>3.5000000000000003E-2</v>
      </c>
      <c r="L112" s="100">
        <v>2</v>
      </c>
      <c r="M112" s="99"/>
      <c r="N112" s="99"/>
      <c r="O112" s="99"/>
      <c r="P112" s="99"/>
    </row>
    <row r="113" spans="1:16" ht="17.100000000000001" customHeight="1">
      <c r="A113" s="880"/>
      <c r="B113" s="881"/>
      <c r="C113" s="881"/>
      <c r="D113" s="882"/>
      <c r="F113" s="101">
        <v>8</v>
      </c>
      <c r="G113" s="99">
        <v>1.7999999999999999E-2</v>
      </c>
      <c r="H113" s="100">
        <v>1.0329999999999999</v>
      </c>
      <c r="I113" s="99">
        <v>2.5999999999999999E-2</v>
      </c>
      <c r="J113" s="100">
        <v>1.4830000000000001</v>
      </c>
      <c r="K113" s="99">
        <v>0.03</v>
      </c>
      <c r="L113" s="100">
        <v>1.7170000000000001</v>
      </c>
      <c r="M113" s="99"/>
      <c r="N113" s="99"/>
      <c r="O113" s="99"/>
      <c r="P113" s="99"/>
    </row>
    <row r="114" spans="1:16" ht="17.100000000000001" customHeight="1">
      <c r="A114" s="880"/>
      <c r="B114" s="881"/>
      <c r="C114" s="881"/>
      <c r="D114" s="882"/>
      <c r="F114" s="101">
        <v>10</v>
      </c>
      <c r="G114" s="99">
        <v>1.6E-2</v>
      </c>
      <c r="H114" s="100">
        <v>0.91700000000000004</v>
      </c>
      <c r="I114" s="99">
        <v>2.4E-2</v>
      </c>
      <c r="J114" s="100">
        <v>1.367</v>
      </c>
      <c r="K114" s="99"/>
      <c r="L114" s="100"/>
      <c r="M114" s="99"/>
      <c r="N114" s="99"/>
      <c r="O114" s="99"/>
      <c r="P114" s="99"/>
    </row>
    <row r="115" spans="1:16" ht="17.100000000000001" customHeight="1" thickBot="1">
      <c r="A115" s="883"/>
      <c r="B115" s="884"/>
      <c r="C115" s="884"/>
      <c r="D115" s="885"/>
      <c r="F115" s="101">
        <v>15</v>
      </c>
      <c r="G115" s="99">
        <v>1.4E-2</v>
      </c>
      <c r="H115" s="100">
        <v>0.8</v>
      </c>
      <c r="I115" s="99">
        <v>0.02</v>
      </c>
      <c r="J115" s="100">
        <v>1.1499999999999999</v>
      </c>
      <c r="K115" s="99"/>
      <c r="L115" s="100"/>
      <c r="M115" s="99"/>
      <c r="N115" s="99"/>
      <c r="O115" s="99"/>
      <c r="P115" s="99"/>
    </row>
    <row r="116" spans="1:16" ht="17.100000000000001" customHeight="1">
      <c r="A116" s="868" t="s">
        <v>635</v>
      </c>
      <c r="B116" s="869"/>
      <c r="C116" s="869"/>
      <c r="D116" s="870"/>
      <c r="F116" s="101">
        <v>24</v>
      </c>
      <c r="G116" s="99">
        <v>1.2999999999999999E-2</v>
      </c>
      <c r="H116" s="100">
        <v>0.75</v>
      </c>
      <c r="I116" s="99"/>
      <c r="J116" s="99"/>
      <c r="K116" s="99"/>
      <c r="L116" s="100"/>
      <c r="M116" s="99"/>
      <c r="N116" s="99"/>
      <c r="O116" s="99"/>
      <c r="P116" s="99"/>
    </row>
    <row r="117" spans="1:16" ht="17.100000000000001" customHeight="1">
      <c r="A117" s="871"/>
      <c r="B117" s="872"/>
      <c r="C117" s="872"/>
      <c r="D117" s="873"/>
    </row>
    <row r="118" spans="1:16" ht="17.100000000000001" customHeight="1">
      <c r="A118" s="871"/>
      <c r="B118" s="872"/>
      <c r="C118" s="872"/>
      <c r="D118" s="873"/>
      <c r="F118" s="25" t="s">
        <v>690</v>
      </c>
    </row>
    <row r="119" spans="1:16" ht="17.100000000000001" customHeight="1">
      <c r="A119" s="871"/>
      <c r="B119" s="872"/>
      <c r="C119" s="872"/>
      <c r="D119" s="873"/>
    </row>
    <row r="120" spans="1:16" ht="17.100000000000001" customHeight="1">
      <c r="A120" s="871"/>
      <c r="B120" s="872"/>
      <c r="C120" s="872"/>
      <c r="D120" s="873"/>
    </row>
    <row r="121" spans="1:16" ht="17.100000000000001" customHeight="1">
      <c r="A121" s="871"/>
      <c r="B121" s="872"/>
      <c r="C121" s="872"/>
      <c r="D121" s="873"/>
    </row>
    <row r="122" spans="1:16" ht="17.100000000000001" customHeight="1" thickBot="1">
      <c r="A122" s="874"/>
      <c r="B122" s="875"/>
      <c r="C122" s="875"/>
      <c r="D122" s="876"/>
    </row>
    <row r="123" spans="1:16" ht="17.100000000000001" customHeight="1">
      <c r="A123" s="205"/>
      <c r="B123" s="205"/>
      <c r="C123" s="205"/>
      <c r="D123" s="205"/>
    </row>
    <row r="124" spans="1:16" ht="17.100000000000001" customHeight="1">
      <c r="A124" s="25" t="s">
        <v>653</v>
      </c>
      <c r="D124" s="25"/>
    </row>
    <row r="125" spans="1:16" ht="17.100000000000001" customHeight="1">
      <c r="A125" s="26" t="s">
        <v>638</v>
      </c>
      <c r="B125" s="208" t="s">
        <v>636</v>
      </c>
      <c r="C125" s="208" t="s">
        <v>643</v>
      </c>
      <c r="D125" s="26" t="s">
        <v>645</v>
      </c>
    </row>
    <row r="126" spans="1:16" ht="17.100000000000001" customHeight="1">
      <c r="A126" s="26" t="s">
        <v>639</v>
      </c>
      <c r="B126" s="208" t="s">
        <v>637</v>
      </c>
      <c r="C126" s="208" t="s">
        <v>644</v>
      </c>
      <c r="D126" s="26" t="s">
        <v>646</v>
      </c>
    </row>
    <row r="127" spans="1:16" ht="17.100000000000001" customHeight="1">
      <c r="A127" s="26" t="s">
        <v>640</v>
      </c>
      <c r="B127" s="208" t="s">
        <v>642</v>
      </c>
      <c r="C127" s="208" t="s">
        <v>642</v>
      </c>
      <c r="D127" s="26" t="s">
        <v>647</v>
      </c>
    </row>
    <row r="128" spans="1:16" ht="17.100000000000001" customHeight="1">
      <c r="A128" s="26" t="s">
        <v>648</v>
      </c>
      <c r="B128" s="824" t="s">
        <v>651</v>
      </c>
      <c r="C128" s="824"/>
      <c r="D128" s="26" t="s">
        <v>650</v>
      </c>
    </row>
    <row r="129" spans="1:4" ht="17.100000000000001" customHeight="1">
      <c r="A129" s="26" t="s">
        <v>649</v>
      </c>
      <c r="B129" s="824" t="s">
        <v>652</v>
      </c>
      <c r="C129" s="824"/>
      <c r="D129" s="26"/>
    </row>
    <row r="130" spans="1:4" ht="17.100000000000001" customHeight="1">
      <c r="A130" s="229"/>
      <c r="B130" s="230"/>
      <c r="C130" s="230"/>
      <c r="D130" s="229"/>
    </row>
    <row r="131" spans="1:4" ht="17.100000000000001" customHeight="1">
      <c r="A131" s="25" t="s">
        <v>654</v>
      </c>
      <c r="B131" s="230"/>
      <c r="C131" s="230"/>
      <c r="D131" s="229"/>
    </row>
    <row r="132" spans="1:4" ht="17.100000000000001" customHeight="1">
      <c r="A132" s="26" t="s">
        <v>638</v>
      </c>
      <c r="B132" s="208" t="s">
        <v>655</v>
      </c>
      <c r="C132" s="208" t="s">
        <v>656</v>
      </c>
      <c r="D132" s="26" t="s">
        <v>665</v>
      </c>
    </row>
    <row r="133" spans="1:4" ht="17.100000000000001" customHeight="1">
      <c r="A133" s="26" t="s">
        <v>657</v>
      </c>
      <c r="B133" s="208" t="s">
        <v>658</v>
      </c>
      <c r="C133" s="208" t="s">
        <v>659</v>
      </c>
      <c r="D133" s="26" t="s">
        <v>660</v>
      </c>
    </row>
    <row r="134" spans="1:4" ht="17.100000000000001" customHeight="1">
      <c r="A134" s="26" t="s">
        <v>661</v>
      </c>
      <c r="B134" s="208" t="s">
        <v>662</v>
      </c>
      <c r="C134" s="208" t="s">
        <v>663</v>
      </c>
      <c r="D134" s="26" t="s">
        <v>664</v>
      </c>
    </row>
    <row r="135" spans="1:4" ht="17.100000000000001" customHeight="1">
      <c r="A135" s="26" t="s">
        <v>666</v>
      </c>
      <c r="B135" s="76" t="s">
        <v>667</v>
      </c>
      <c r="C135" s="76" t="s">
        <v>668</v>
      </c>
      <c r="D135" s="26" t="s">
        <v>674</v>
      </c>
    </row>
    <row r="136" spans="1:4" ht="17.100000000000001" customHeight="1">
      <c r="A136" s="26" t="s">
        <v>648</v>
      </c>
      <c r="B136" s="76" t="s">
        <v>669</v>
      </c>
      <c r="C136" s="76" t="s">
        <v>670</v>
      </c>
      <c r="D136" s="114" t="s">
        <v>695</v>
      </c>
    </row>
    <row r="137" spans="1:4" ht="17.100000000000001" customHeight="1">
      <c r="A137" s="208" t="s">
        <v>671</v>
      </c>
      <c r="B137" s="208" t="s">
        <v>673</v>
      </c>
      <c r="C137" s="208" t="s">
        <v>660</v>
      </c>
      <c r="D137" s="208"/>
    </row>
    <row r="138" spans="1:4" ht="17.100000000000001" customHeight="1">
      <c r="A138" s="208" t="s">
        <v>672</v>
      </c>
      <c r="B138" s="208" t="s">
        <v>660</v>
      </c>
      <c r="C138" s="208"/>
      <c r="D138" s="208"/>
    </row>
    <row r="140" spans="1:4" ht="17.100000000000001" customHeight="1">
      <c r="A140" s="24" t="s">
        <v>681</v>
      </c>
    </row>
    <row r="141" spans="1:4" ht="17.100000000000001" customHeight="1">
      <c r="A141" s="208" t="s">
        <v>284</v>
      </c>
      <c r="B141" s="867" t="s">
        <v>675</v>
      </c>
      <c r="C141" s="867"/>
      <c r="D141" s="867"/>
    </row>
    <row r="142" spans="1:4" ht="17.100000000000001" customHeight="1">
      <c r="A142" s="827" t="s">
        <v>677</v>
      </c>
      <c r="B142" s="51"/>
      <c r="C142" s="886"/>
      <c r="D142" s="886"/>
    </row>
    <row r="143" spans="1:4" ht="17.100000000000001" customHeight="1">
      <c r="A143" s="827"/>
      <c r="B143" s="51"/>
      <c r="C143" s="886"/>
      <c r="D143" s="886"/>
    </row>
    <row r="144" spans="1:4" ht="17.100000000000001" customHeight="1">
      <c r="A144" s="827"/>
      <c r="B144" s="51"/>
      <c r="C144" s="867"/>
      <c r="D144" s="867"/>
    </row>
    <row r="145" spans="1:4" ht="17.100000000000001" customHeight="1">
      <c r="A145" s="827" t="s">
        <v>676</v>
      </c>
      <c r="B145" s="51"/>
      <c r="C145" s="867"/>
      <c r="D145" s="867"/>
    </row>
    <row r="146" spans="1:4" ht="17.100000000000001" customHeight="1">
      <c r="A146" s="827"/>
      <c r="B146" s="51"/>
      <c r="C146" s="886"/>
      <c r="D146" s="886"/>
    </row>
    <row r="147" spans="1:4" ht="17.100000000000001" customHeight="1">
      <c r="A147" s="827"/>
      <c r="B147" s="51"/>
      <c r="C147" s="886"/>
      <c r="D147" s="886"/>
    </row>
    <row r="148" spans="1:4" ht="17.100000000000001" customHeight="1">
      <c r="A148" s="827" t="s">
        <v>678</v>
      </c>
      <c r="B148" s="51"/>
      <c r="C148" s="886"/>
      <c r="D148" s="886"/>
    </row>
    <row r="149" spans="1:4" ht="17.100000000000001" customHeight="1">
      <c r="A149" s="827"/>
      <c r="B149" s="51"/>
      <c r="C149" s="886"/>
      <c r="D149" s="886"/>
    </row>
    <row r="150" spans="1:4" ht="17.100000000000001" customHeight="1">
      <c r="A150" s="827"/>
    </row>
    <row r="151" spans="1:4" ht="17.100000000000001" customHeight="1">
      <c r="A151" s="827" t="s">
        <v>679</v>
      </c>
    </row>
    <row r="152" spans="1:4" ht="17.100000000000001" customHeight="1">
      <c r="A152" s="827"/>
    </row>
    <row r="153" spans="1:4" ht="17.100000000000001" customHeight="1">
      <c r="A153" s="827"/>
    </row>
    <row r="154" spans="1:4" ht="17.100000000000001" customHeight="1">
      <c r="A154" s="827" t="s">
        <v>680</v>
      </c>
    </row>
    <row r="155" spans="1:4" ht="17.100000000000001" customHeight="1">
      <c r="A155" s="827"/>
    </row>
    <row r="156" spans="1:4" ht="17.100000000000001" customHeight="1">
      <c r="A156" s="827"/>
    </row>
  </sheetData>
  <sheetProtection password="828E" sheet="1" objects="1" scenarios="1"/>
  <mergeCells count="173">
    <mergeCell ref="F86:F90"/>
    <mergeCell ref="A101:D102"/>
    <mergeCell ref="O53:O54"/>
    <mergeCell ref="N53:N54"/>
    <mergeCell ref="L53:L54"/>
    <mergeCell ref="M52:M54"/>
    <mergeCell ref="K53:K54"/>
    <mergeCell ref="J53:J54"/>
    <mergeCell ref="O50:O51"/>
    <mergeCell ref="N50:N51"/>
    <mergeCell ref="L50:L51"/>
    <mergeCell ref="M50:M51"/>
    <mergeCell ref="K50:K51"/>
    <mergeCell ref="J50:J51"/>
    <mergeCell ref="G98:J98"/>
    <mergeCell ref="G99:H99"/>
    <mergeCell ref="I99:J99"/>
    <mergeCell ref="K98:L98"/>
    <mergeCell ref="M98:P98"/>
    <mergeCell ref="M99:N99"/>
    <mergeCell ref="O99:P99"/>
    <mergeCell ref="N64:N65"/>
    <mergeCell ref="O64:O65"/>
    <mergeCell ref="J66:J69"/>
    <mergeCell ref="H41:I41"/>
    <mergeCell ref="F43:F44"/>
    <mergeCell ref="F45:F46"/>
    <mergeCell ref="A67:B67"/>
    <mergeCell ref="F37:F38"/>
    <mergeCell ref="A68:B68"/>
    <mergeCell ref="G41:G42"/>
    <mergeCell ref="A61:B61"/>
    <mergeCell ref="A62:B62"/>
    <mergeCell ref="A63:B63"/>
    <mergeCell ref="F41:F42"/>
    <mergeCell ref="I64:I65"/>
    <mergeCell ref="A21:B21"/>
    <mergeCell ref="A25:B25"/>
    <mergeCell ref="A20:B20"/>
    <mergeCell ref="A54:B54"/>
    <mergeCell ref="A53:B53"/>
    <mergeCell ref="A93:A94"/>
    <mergeCell ref="A26:B26"/>
    <mergeCell ref="A95:A96"/>
    <mergeCell ref="A97:A98"/>
    <mergeCell ref="A52:B52"/>
    <mergeCell ref="A51:B51"/>
    <mergeCell ref="A49:B49"/>
    <mergeCell ref="A47:D47"/>
    <mergeCell ref="A48:D48"/>
    <mergeCell ref="D34:D35"/>
    <mergeCell ref="A55:B55"/>
    <mergeCell ref="C69:D69"/>
    <mergeCell ref="A66:B66"/>
    <mergeCell ref="A84:D84"/>
    <mergeCell ref="A79:D82"/>
    <mergeCell ref="F33:F36"/>
    <mergeCell ref="A99:A100"/>
    <mergeCell ref="F31:G31"/>
    <mergeCell ref="A43:A46"/>
    <mergeCell ref="B31:D31"/>
    <mergeCell ref="F52:F54"/>
    <mergeCell ref="F50:F51"/>
    <mergeCell ref="A10:B10"/>
    <mergeCell ref="A13:B13"/>
    <mergeCell ref="A14:B14"/>
    <mergeCell ref="F60:F65"/>
    <mergeCell ref="B46:D46"/>
    <mergeCell ref="A78:D78"/>
    <mergeCell ref="A75:B75"/>
    <mergeCell ref="A76:B76"/>
    <mergeCell ref="A71:D71"/>
    <mergeCell ref="A72:B72"/>
    <mergeCell ref="A73:B73"/>
    <mergeCell ref="A74:B74"/>
    <mergeCell ref="A77:B77"/>
    <mergeCell ref="A64:B64"/>
    <mergeCell ref="A65:B65"/>
    <mergeCell ref="A60:B60"/>
    <mergeCell ref="A59:D59"/>
    <mergeCell ref="A1:D1"/>
    <mergeCell ref="A2:D2"/>
    <mergeCell ref="A3:B3"/>
    <mergeCell ref="A4:A5"/>
    <mergeCell ref="A7:B7"/>
    <mergeCell ref="A8:B8"/>
    <mergeCell ref="A9:B9"/>
    <mergeCell ref="A11:B11"/>
    <mergeCell ref="A12:B12"/>
    <mergeCell ref="J11:J14"/>
    <mergeCell ref="K11:K14"/>
    <mergeCell ref="A32:A42"/>
    <mergeCell ref="H31:O31"/>
    <mergeCell ref="P35:Q36"/>
    <mergeCell ref="J41:L46"/>
    <mergeCell ref="A56:B56"/>
    <mergeCell ref="C57:D57"/>
    <mergeCell ref="A50:B50"/>
    <mergeCell ref="G16:H16"/>
    <mergeCell ref="G17:H17"/>
    <mergeCell ref="I11:I14"/>
    <mergeCell ref="A15:A16"/>
    <mergeCell ref="H20:I20"/>
    <mergeCell ref="F11:F14"/>
    <mergeCell ref="G11:G14"/>
    <mergeCell ref="H11:H14"/>
    <mergeCell ref="H21:I21"/>
    <mergeCell ref="A19:B19"/>
    <mergeCell ref="A17:B17"/>
    <mergeCell ref="A18:B18"/>
    <mergeCell ref="A22:B22"/>
    <mergeCell ref="A24:B24"/>
    <mergeCell ref="F55:F59"/>
    <mergeCell ref="F81:F85"/>
    <mergeCell ref="K64:K65"/>
    <mergeCell ref="J60:J63"/>
    <mergeCell ref="K60:K63"/>
    <mergeCell ref="M64:M65"/>
    <mergeCell ref="J81:J84"/>
    <mergeCell ref="K81:K84"/>
    <mergeCell ref="H55:H57"/>
    <mergeCell ref="I55:I57"/>
    <mergeCell ref="L66:L69"/>
    <mergeCell ref="J71:J74"/>
    <mergeCell ref="K71:K74"/>
    <mergeCell ref="L71:L74"/>
    <mergeCell ref="N58:N59"/>
    <mergeCell ref="O58:O59"/>
    <mergeCell ref="L86:L89"/>
    <mergeCell ref="J91:J94"/>
    <mergeCell ref="K91:K94"/>
    <mergeCell ref="L91:L94"/>
    <mergeCell ref="L60:L63"/>
    <mergeCell ref="L64:L65"/>
    <mergeCell ref="L55:L57"/>
    <mergeCell ref="L58:L59"/>
    <mergeCell ref="J76:J79"/>
    <mergeCell ref="K76:K79"/>
    <mergeCell ref="L76:L79"/>
    <mergeCell ref="L81:L84"/>
    <mergeCell ref="J86:J89"/>
    <mergeCell ref="K86:K89"/>
    <mergeCell ref="K66:K69"/>
    <mergeCell ref="J55:J57"/>
    <mergeCell ref="J58:J59"/>
    <mergeCell ref="K55:K57"/>
    <mergeCell ref="K58:K59"/>
    <mergeCell ref="M58:M59"/>
    <mergeCell ref="J64:J65"/>
    <mergeCell ref="K24:K26"/>
    <mergeCell ref="A151:A153"/>
    <mergeCell ref="A154:A156"/>
    <mergeCell ref="B141:D141"/>
    <mergeCell ref="A116:D122"/>
    <mergeCell ref="A104:D115"/>
    <mergeCell ref="B128:C128"/>
    <mergeCell ref="B129:C129"/>
    <mergeCell ref="A142:A144"/>
    <mergeCell ref="A145:A147"/>
    <mergeCell ref="A148:A150"/>
    <mergeCell ref="C146:D146"/>
    <mergeCell ref="C147:D147"/>
    <mergeCell ref="C148:D148"/>
    <mergeCell ref="C149:D149"/>
    <mergeCell ref="C142:D142"/>
    <mergeCell ref="C143:D143"/>
    <mergeCell ref="C144:D144"/>
    <mergeCell ref="C145:D145"/>
    <mergeCell ref="F91:F94"/>
    <mergeCell ref="G55:G57"/>
    <mergeCell ref="F66:F70"/>
    <mergeCell ref="F71:F75"/>
    <mergeCell ref="F76:F80"/>
  </mergeCells>
  <phoneticPr fontId="4" type="noConversion"/>
  <conditionalFormatting sqref="C56">
    <cfRule type="cellIs" dxfId="3" priority="3" operator="greaterThan">
      <formula>$C$55</formula>
    </cfRule>
    <cfRule type="cellIs" dxfId="2" priority="4" operator="lessThanOrEqual">
      <formula>$C$55</formula>
    </cfRule>
  </conditionalFormatting>
  <conditionalFormatting sqref="C35">
    <cfRule type="cellIs" dxfId="1" priority="1" operator="lessThan">
      <formula>0.05</formula>
    </cfRule>
    <cfRule type="cellIs" dxfId="0" priority="2" operator="greaterThan">
      <formula>0.05</formula>
    </cfRule>
  </conditionalFormatting>
  <dataValidations count="3">
    <dataValidation type="list" allowBlank="1" showInputMessage="1" showErrorMessage="1" sqref="C4">
      <formula1>$G$7:$I$7</formula1>
    </dataValidation>
    <dataValidation type="list" allowBlank="1" showInputMessage="1" showErrorMessage="1" sqref="C7">
      <formula1>$W$7:$W$8</formula1>
    </dataValidation>
    <dataValidation type="list" allowBlank="1" showInputMessage="1" showErrorMessage="1" sqref="C8">
      <formula1>$W$10:$W$11</formula1>
    </dataValidation>
  </dataValidations>
  <pageMargins left="0.7" right="0.7" top="0.75" bottom="0.75" header="0.3" footer="0.3"/>
  <pageSetup paperSize="9" orientation="portrait" r:id="rId1"/>
  <drawing r:id="rId2"/>
  <legacyDrawing r:id="rId3"/>
  <oleObjects>
    <oleObject progId="Equations" shapeId="5145" r:id="rId4"/>
    <oleObject progId="Equations" shapeId="5147" r:id="rId5"/>
    <oleObject progId="Equations" shapeId="5148" r:id="rId6"/>
    <oleObject progId="Equations" shapeId="5149" r:id="rId7"/>
    <oleObject progId="Equations" shapeId="5150" r:id="rId8"/>
  </oleObjects>
</worksheet>
</file>

<file path=xl/worksheets/sheet7.xml><?xml version="1.0" encoding="utf-8"?>
<worksheet xmlns="http://schemas.openxmlformats.org/spreadsheetml/2006/main" xmlns:r="http://schemas.openxmlformats.org/officeDocument/2006/relationships">
  <sheetPr codeName="Sheet14"/>
  <dimension ref="A1:AN125"/>
  <sheetViews>
    <sheetView workbookViewId="0">
      <selection activeCell="C6" sqref="C6"/>
    </sheetView>
  </sheetViews>
  <sheetFormatPr defaultColWidth="15.625" defaultRowHeight="17.100000000000001" customHeight="1"/>
  <cols>
    <col min="1" max="1" width="4.75" style="261" customWidth="1"/>
    <col min="2" max="2" width="21.875" style="261" customWidth="1"/>
    <col min="3" max="3" width="15.625" style="311"/>
    <col min="4" max="4" width="12.125" style="261" customWidth="1"/>
    <col min="5" max="5" width="4.75" style="261" customWidth="1"/>
    <col min="6" max="17" width="9.625" style="261" customWidth="1"/>
    <col min="18" max="24" width="8.625" style="261" customWidth="1"/>
    <col min="25" max="16384" width="15.625" style="261"/>
  </cols>
  <sheetData>
    <row r="1" spans="1:40" ht="21.95" customHeight="1">
      <c r="A1" s="775" t="s">
        <v>2430</v>
      </c>
      <c r="B1" s="775"/>
      <c r="C1" s="775"/>
      <c r="D1" s="775"/>
    </row>
    <row r="2" spans="1:40" ht="17.100000000000001" customHeight="1">
      <c r="A2" s="969" t="s">
        <v>2424</v>
      </c>
      <c r="B2" s="969"/>
      <c r="C2" s="969"/>
      <c r="D2" s="969"/>
      <c r="F2" s="264" t="s">
        <v>2386</v>
      </c>
      <c r="G2" s="264"/>
      <c r="N2" s="261" t="s">
        <v>2411</v>
      </c>
      <c r="O2" s="276"/>
      <c r="P2" s="276"/>
      <c r="Q2" s="276"/>
      <c r="AG2" s="261" t="s">
        <v>110</v>
      </c>
    </row>
    <row r="3" spans="1:40" ht="17.100000000000001" customHeight="1">
      <c r="A3" s="589" t="s">
        <v>753</v>
      </c>
      <c r="B3" s="266" t="s">
        <v>754</v>
      </c>
      <c r="C3" s="572" t="s">
        <v>755</v>
      </c>
      <c r="D3" s="266" t="s">
        <v>762</v>
      </c>
      <c r="F3" s="580" t="s">
        <v>2403</v>
      </c>
      <c r="G3" s="580" t="s">
        <v>2389</v>
      </c>
      <c r="H3" s="580" t="s">
        <v>2404</v>
      </c>
      <c r="I3" s="580" t="s">
        <v>2390</v>
      </c>
      <c r="J3" s="580" t="s">
        <v>2388</v>
      </c>
      <c r="K3" s="580" t="s">
        <v>2405</v>
      </c>
      <c r="L3" s="580" t="s">
        <v>2419</v>
      </c>
      <c r="M3" s="580" t="s">
        <v>2420</v>
      </c>
      <c r="N3" s="593" t="s">
        <v>2406</v>
      </c>
      <c r="O3" s="955" t="s">
        <v>2408</v>
      </c>
      <c r="P3" s="585" t="s">
        <v>2409</v>
      </c>
      <c r="Q3" s="580" t="s">
        <v>2410</v>
      </c>
      <c r="W3" s="268"/>
      <c r="X3" s="268"/>
      <c r="Y3" s="268"/>
      <c r="Z3" s="268"/>
      <c r="AA3" s="268"/>
      <c r="AB3" s="268"/>
      <c r="AC3" s="268"/>
      <c r="AD3" s="268"/>
      <c r="AG3" s="261" t="s">
        <v>720</v>
      </c>
    </row>
    <row r="4" spans="1:40" ht="17.100000000000001" customHeight="1">
      <c r="A4" s="590">
        <v>1</v>
      </c>
      <c r="B4" s="296" t="s">
        <v>2421</v>
      </c>
      <c r="C4" s="608">
        <v>40</v>
      </c>
      <c r="D4" s="296" t="s">
        <v>2544</v>
      </c>
      <c r="F4" s="705">
        <v>12</v>
      </c>
      <c r="G4" s="705">
        <v>5.8</v>
      </c>
      <c r="H4" s="581" t="s">
        <v>2387</v>
      </c>
      <c r="I4" s="580">
        <f>IF(F4=1,0.25,IF(F4=2,0.4,IF(F4=2.5,0.45,IF(F4=3,0.5,IF(F4=4,0.7,IF(F4=5,0.8,IF(F4=6,1,IF(F4=8,1.25,IF(F4=10,1.5,IF(F4=12,1.75,IF(F4=14,2,IF(F4=16,2,IF(F4=18,2.5,IF(F4=20,2.5,IF(F4=24,3,IF(F4=27,3,IF(F4=30,3.5,IF(F4=33,3.5,IF(F4=36,4,"")))))))))))))))))))</f>
        <v>1.75</v>
      </c>
      <c r="J4" s="582">
        <f>F4-1.08253*I4</f>
        <v>10.105572500000001</v>
      </c>
      <c r="K4" s="582">
        <f>PI()*(J4/2)^2</f>
        <v>80.206898988515192</v>
      </c>
      <c r="L4" s="587">
        <f>LEFT(G4,1)*100*K4/1000</f>
        <v>40.103449494257596</v>
      </c>
      <c r="M4" s="584">
        <f>L4*RIGHT(G4,1)*0.1</f>
        <v>32.082759595406081</v>
      </c>
      <c r="N4" s="594">
        <f>M4*0.6</f>
        <v>19.249655757243648</v>
      </c>
      <c r="O4" s="955"/>
      <c r="P4" s="583">
        <f>O5*N4*F4</f>
        <v>46.199173817384761</v>
      </c>
      <c r="Q4" s="584">
        <f>0.8*P4</f>
        <v>36.959339053907811</v>
      </c>
      <c r="W4" s="270"/>
      <c r="X4" s="270"/>
      <c r="Y4" s="270"/>
      <c r="Z4" s="270"/>
      <c r="AA4" s="270"/>
      <c r="AB4" s="270"/>
      <c r="AC4" s="270"/>
      <c r="AD4" s="270"/>
      <c r="AG4" s="261" t="s">
        <v>721</v>
      </c>
    </row>
    <row r="5" spans="1:40" ht="17.100000000000001" customHeight="1">
      <c r="A5" s="591">
        <v>2</v>
      </c>
      <c r="B5" s="345" t="s">
        <v>2423</v>
      </c>
      <c r="C5" s="967" t="s">
        <v>2573</v>
      </c>
      <c r="D5" s="968"/>
      <c r="F5" s="971" t="str">
        <f>"抗拉强度σb="&amp;LEFT(G4,1)*100&amp;" MPa"</f>
        <v>抗拉强度σb=500 MPa</v>
      </c>
      <c r="G5" s="971"/>
      <c r="H5" s="970" t="str">
        <f>IF(F4&gt;6,"细牙","")</f>
        <v>细牙</v>
      </c>
      <c r="I5" s="580">
        <f>IF(F4=8,1,IF(F4=10,1.25,IF(F4=12,1.5,IF(F4=14,1.5,IF(F4=16,1.5,IF(F4=18,2,IF(F4=20,2,IF(F4=24,2,IF(F4=27,2,IF(F4=30,2,IF(F4=33,2,IF(F4=36,3,""))))))))))))</f>
        <v>1.5</v>
      </c>
      <c r="J5" s="582">
        <f>IF(AND(I5&lt;&gt;0,I5&lt;&gt;""),F4-1.08253*I5,"")</f>
        <v>10.376205000000001</v>
      </c>
      <c r="K5" s="582">
        <f>IF(AND(I5&lt;&gt;0,I5&lt;&gt;""),PI()*(J5/2)^2,"")</f>
        <v>84.560388221699284</v>
      </c>
      <c r="L5" s="587">
        <f>IF(AND(I5&lt;&gt;0,I5&lt;&gt;""),LEFT(G4,1)*100*K5/1000,"")</f>
        <v>42.280194110849642</v>
      </c>
      <c r="M5" s="584">
        <f>IF(AND(I5&lt;&gt;0,I5&lt;&gt;""),L5*RIGHT(G4,1)*0.1,"")</f>
        <v>33.824155288679712</v>
      </c>
      <c r="N5" s="582">
        <f>IF(AND(I5&lt;&gt;0,I5&lt;&gt;""),M5*0.6,"")</f>
        <v>20.294493173207826</v>
      </c>
      <c r="O5" s="953">
        <v>0.2</v>
      </c>
      <c r="P5" s="595">
        <f>IF(AND(I5&lt;&gt;0,I5&lt;&gt;""),O5*N5*F4,"")</f>
        <v>48.706783615698782</v>
      </c>
      <c r="Q5" s="596">
        <f>IF(AND(I5&lt;&gt;0,I5&lt;&gt;""),0.8*P5,"")</f>
        <v>38.96542689255903</v>
      </c>
      <c r="W5" s="276"/>
      <c r="X5" s="276"/>
      <c r="Y5" s="276"/>
      <c r="Z5" s="276"/>
      <c r="AA5" s="276"/>
      <c r="AB5" s="276"/>
      <c r="AC5" s="276"/>
      <c r="AD5" s="276"/>
      <c r="AG5" s="261" t="s">
        <v>722</v>
      </c>
    </row>
    <row r="6" spans="1:40" ht="17.100000000000001" customHeight="1">
      <c r="A6" s="590">
        <v>3</v>
      </c>
      <c r="B6" s="266" t="s">
        <v>2429</v>
      </c>
      <c r="C6" s="326">
        <v>32</v>
      </c>
      <c r="D6" s="266" t="s">
        <v>1174</v>
      </c>
      <c r="F6" s="971" t="str">
        <f>"屈服强度σs="&amp;LEFT(G4,1)*100*RIGHT(G4,1)*0.1&amp;" MPa"</f>
        <v>屈服强度σs=400 MPa</v>
      </c>
      <c r="G6" s="971"/>
      <c r="H6" s="970"/>
      <c r="I6" s="580">
        <f>IF(F4=10,1,IF(F4=12,1.25,IF(F4=18,1.5,IF(F4=20,1.5,""))))</f>
        <v>1.25</v>
      </c>
      <c r="J6" s="582">
        <f>IF(AND(I6&lt;&gt;0,I6&lt;&gt;""),F4-1.08253*I6,"")</f>
        <v>10.6468375</v>
      </c>
      <c r="K6" s="582">
        <f>IF(AND(I6&lt;&gt;0,I6&lt;&gt;""),PI()*(J6/2)^2,"")</f>
        <v>89.02892564099902</v>
      </c>
      <c r="L6" s="587">
        <f>IF(AND(I6&lt;&gt;0,I6&lt;&gt;""),LEFT(G4,1)*100*K6/1000,"")</f>
        <v>44.51446282049951</v>
      </c>
      <c r="M6" s="584">
        <f>IF(AND(I6&lt;&gt;0,I6&lt;&gt;""),L6*RIGHT(G4,1)*0.1,"")</f>
        <v>35.611570256399609</v>
      </c>
      <c r="N6" s="582">
        <f>IF(AND(I6&lt;&gt;0,I6&lt;&gt;""),M6*0.6,"")</f>
        <v>21.366942153839766</v>
      </c>
      <c r="O6" s="954"/>
      <c r="P6" s="583">
        <f>IF(AND(I6&lt;&gt;0,I6&lt;&gt;""),O5*N6*F4,"")</f>
        <v>51.280661169215442</v>
      </c>
      <c r="Q6" s="584">
        <f>IF(AND(I6&lt;&gt;0,I6&lt;&gt;""),0.8*P6,"")</f>
        <v>41.024528935372359</v>
      </c>
      <c r="W6" s="281"/>
      <c r="X6" s="281"/>
      <c r="Y6" s="281"/>
      <c r="Z6" s="281"/>
      <c r="AA6" s="281"/>
      <c r="AB6" s="281"/>
      <c r="AC6" s="281"/>
      <c r="AD6" s="281"/>
      <c r="AG6" s="261" t="s">
        <v>723</v>
      </c>
    </row>
    <row r="7" spans="1:40" ht="17.100000000000001" customHeight="1">
      <c r="A7" s="591">
        <v>4</v>
      </c>
      <c r="B7" s="266" t="s">
        <v>2362</v>
      </c>
      <c r="C7" s="326">
        <v>4</v>
      </c>
      <c r="D7" s="348" t="s">
        <v>363</v>
      </c>
      <c r="M7" s="261" t="s">
        <v>2522</v>
      </c>
      <c r="W7" s="281"/>
      <c r="X7" s="281"/>
      <c r="Y7" s="281"/>
      <c r="Z7" s="281"/>
      <c r="AA7" s="281"/>
      <c r="AB7" s="281"/>
      <c r="AC7" s="281"/>
      <c r="AD7" s="281"/>
      <c r="AG7" s="261" t="s">
        <v>724</v>
      </c>
    </row>
    <row r="8" spans="1:40" ht="17.100000000000001" customHeight="1">
      <c r="A8" s="592">
        <v>5</v>
      </c>
      <c r="B8" s="266" t="s">
        <v>2422</v>
      </c>
      <c r="C8" s="588">
        <f>ROUNDUP(C4*C7/C6,0)</f>
        <v>5</v>
      </c>
      <c r="D8" s="285"/>
      <c r="F8" s="261" t="s">
        <v>2425</v>
      </c>
      <c r="M8" s="956" t="s">
        <v>2391</v>
      </c>
      <c r="N8" s="956"/>
      <c r="O8" s="956"/>
      <c r="P8" s="956"/>
      <c r="AD8" s="281"/>
      <c r="AE8" s="281"/>
      <c r="AF8" s="281"/>
      <c r="AG8" s="281"/>
      <c r="AH8" s="281"/>
      <c r="AI8" s="281"/>
      <c r="AJ8" s="281"/>
      <c r="AK8" s="281"/>
      <c r="AN8" s="261" t="s">
        <v>725</v>
      </c>
    </row>
    <row r="9" spans="1:40" ht="17.100000000000001" customHeight="1">
      <c r="A9" s="969" t="s">
        <v>2538</v>
      </c>
      <c r="B9" s="969"/>
      <c r="C9" s="969"/>
      <c r="D9" s="969"/>
      <c r="F9" s="940" t="s">
        <v>2416</v>
      </c>
      <c r="G9" s="940"/>
      <c r="H9" s="940"/>
      <c r="I9" s="586" t="s">
        <v>2412</v>
      </c>
      <c r="J9" s="586" t="s">
        <v>2415</v>
      </c>
      <c r="K9" s="586" t="s">
        <v>2524</v>
      </c>
      <c r="M9" s="939" t="s">
        <v>2392</v>
      </c>
      <c r="N9" s="939"/>
      <c r="O9" s="957" t="s">
        <v>2393</v>
      </c>
      <c r="P9" s="957" t="s">
        <v>2394</v>
      </c>
      <c r="AD9" s="281"/>
      <c r="AE9" s="281"/>
      <c r="AF9" s="281"/>
      <c r="AG9" s="281"/>
      <c r="AH9" s="281"/>
      <c r="AI9" s="281"/>
      <c r="AL9" s="261" t="s">
        <v>726</v>
      </c>
    </row>
    <row r="10" spans="1:40" ht="17.100000000000001" customHeight="1">
      <c r="A10" s="589" t="s">
        <v>753</v>
      </c>
      <c r="B10" s="266" t="s">
        <v>754</v>
      </c>
      <c r="C10" s="572" t="s">
        <v>755</v>
      </c>
      <c r="D10" s="266" t="s">
        <v>762</v>
      </c>
      <c r="F10" s="944" t="s">
        <v>2417</v>
      </c>
      <c r="G10" s="947" t="s">
        <v>2529</v>
      </c>
      <c r="H10" s="579" t="s">
        <v>59</v>
      </c>
      <c r="I10" s="609" t="s">
        <v>2414</v>
      </c>
      <c r="J10" s="610" t="s">
        <v>2523</v>
      </c>
      <c r="K10" s="610" t="s">
        <v>2525</v>
      </c>
      <c r="M10" s="939"/>
      <c r="N10" s="939"/>
      <c r="O10" s="957"/>
      <c r="P10" s="957"/>
      <c r="AD10" s="281"/>
      <c r="AE10" s="281"/>
      <c r="AF10" s="281"/>
      <c r="AG10" s="281"/>
      <c r="AH10" s="281"/>
      <c r="AI10" s="281"/>
      <c r="AL10" s="261" t="s">
        <v>727</v>
      </c>
    </row>
    <row r="11" spans="1:40" ht="17.100000000000001" customHeight="1">
      <c r="A11" s="590">
        <v>1</v>
      </c>
      <c r="B11" s="265" t="s">
        <v>2539</v>
      </c>
      <c r="C11" s="326">
        <v>40</v>
      </c>
      <c r="D11" s="345"/>
      <c r="F11" s="945"/>
      <c r="G11" s="947"/>
      <c r="H11" s="579" t="s">
        <v>2413</v>
      </c>
      <c r="I11" s="610" t="s">
        <v>2526</v>
      </c>
      <c r="J11" s="610" t="s">
        <v>2527</v>
      </c>
      <c r="K11" s="610" t="s">
        <v>2528</v>
      </c>
      <c r="M11" s="939" t="s">
        <v>2395</v>
      </c>
      <c r="N11" s="939"/>
      <c r="O11" s="578">
        <v>0.1</v>
      </c>
      <c r="P11" s="578">
        <v>0.12</v>
      </c>
      <c r="AD11" s="281"/>
      <c r="AE11" s="281"/>
      <c r="AF11" s="281"/>
      <c r="AG11" s="281"/>
      <c r="AH11" s="281"/>
      <c r="AI11" s="281"/>
      <c r="AL11" s="261" t="s">
        <v>728</v>
      </c>
    </row>
    <row r="12" spans="1:40" ht="17.100000000000001" customHeight="1">
      <c r="A12" s="591">
        <v>2</v>
      </c>
      <c r="B12" s="345" t="s">
        <v>2423</v>
      </c>
      <c r="C12" s="967" t="s">
        <v>2573</v>
      </c>
      <c r="D12" s="968"/>
      <c r="F12" s="945"/>
      <c r="G12" s="947" t="s">
        <v>2530</v>
      </c>
      <c r="H12" s="579" t="s">
        <v>59</v>
      </c>
      <c r="I12" s="611" t="s">
        <v>2531</v>
      </c>
      <c r="J12" s="611">
        <v>8.5</v>
      </c>
      <c r="K12" s="611" t="s">
        <v>2533</v>
      </c>
      <c r="M12" s="939" t="s">
        <v>2396</v>
      </c>
      <c r="N12" s="939"/>
      <c r="O12" s="578" t="s">
        <v>2397</v>
      </c>
      <c r="P12" s="578" t="s">
        <v>2398</v>
      </c>
      <c r="AD12" s="281"/>
      <c r="AE12" s="281"/>
      <c r="AF12" s="281"/>
      <c r="AG12" s="281"/>
      <c r="AH12" s="281"/>
      <c r="AI12" s="281"/>
    </row>
    <row r="13" spans="1:40" ht="17.100000000000001" customHeight="1">
      <c r="A13" s="590">
        <v>3</v>
      </c>
      <c r="B13" s="266" t="s">
        <v>2429</v>
      </c>
      <c r="C13" s="326">
        <v>32</v>
      </c>
      <c r="D13" s="266" t="s">
        <v>1174</v>
      </c>
      <c r="F13" s="946"/>
      <c r="G13" s="947"/>
      <c r="H13" s="579" t="s">
        <v>2413</v>
      </c>
      <c r="I13" s="611" t="s">
        <v>2532</v>
      </c>
      <c r="J13" s="611">
        <v>6.8</v>
      </c>
      <c r="K13" s="611" t="s">
        <v>2534</v>
      </c>
      <c r="M13" s="939" t="s">
        <v>2399</v>
      </c>
      <c r="N13" s="939"/>
      <c r="O13" s="578">
        <v>0.2</v>
      </c>
      <c r="P13" s="578">
        <v>0.24</v>
      </c>
    </row>
    <row r="14" spans="1:40" ht="17.100000000000001" customHeight="1">
      <c r="A14" s="591">
        <v>4</v>
      </c>
      <c r="B14" s="266" t="s">
        <v>2542</v>
      </c>
      <c r="C14" s="326">
        <v>4</v>
      </c>
      <c r="D14" s="348" t="s">
        <v>310</v>
      </c>
      <c r="F14" s="941" t="s">
        <v>2418</v>
      </c>
      <c r="G14" s="941"/>
      <c r="H14" s="942" t="s">
        <v>1096</v>
      </c>
      <c r="I14" s="943"/>
      <c r="J14" s="943"/>
      <c r="K14" s="943"/>
      <c r="M14" s="939" t="s">
        <v>2400</v>
      </c>
      <c r="N14" s="939"/>
      <c r="O14" s="578">
        <v>0.18</v>
      </c>
      <c r="P14" s="578">
        <v>0.22</v>
      </c>
    </row>
    <row r="15" spans="1:40" ht="17.100000000000001" customHeight="1">
      <c r="A15" s="592">
        <v>5</v>
      </c>
      <c r="B15" s="266" t="s">
        <v>2422</v>
      </c>
      <c r="C15" s="588">
        <f>ROUNDUP(C11*C14/C13,0)</f>
        <v>5</v>
      </c>
      <c r="D15" s="285"/>
      <c r="F15" s="941"/>
      <c r="G15" s="941"/>
      <c r="H15" s="943"/>
      <c r="I15" s="943"/>
      <c r="J15" s="943"/>
      <c r="K15" s="943"/>
      <c r="M15" s="939" t="s">
        <v>2401</v>
      </c>
      <c r="N15" s="939"/>
      <c r="O15" s="938" t="s">
        <v>2402</v>
      </c>
      <c r="P15" s="938"/>
    </row>
    <row r="16" spans="1:40" ht="17.100000000000001" customHeight="1" thickBot="1">
      <c r="A16" s="301"/>
      <c r="B16" s="301"/>
      <c r="C16" s="302"/>
      <c r="D16" s="301"/>
      <c r="F16" s="948" t="s">
        <v>2535</v>
      </c>
      <c r="G16" s="949"/>
      <c r="H16" s="950" t="s">
        <v>2536</v>
      </c>
      <c r="I16" s="951"/>
      <c r="J16" s="951"/>
      <c r="K16" s="952"/>
      <c r="M16" s="577" t="s">
        <v>2407</v>
      </c>
    </row>
    <row r="17" spans="1:9" ht="14.25">
      <c r="A17" s="958" t="s">
        <v>2545</v>
      </c>
      <c r="B17" s="959"/>
      <c r="C17" s="959"/>
      <c r="D17" s="960"/>
    </row>
    <row r="18" spans="1:9" ht="14.25" customHeight="1">
      <c r="A18" s="961"/>
      <c r="B18" s="962"/>
      <c r="C18" s="962"/>
      <c r="D18" s="963"/>
      <c r="F18" s="261" t="s">
        <v>2540</v>
      </c>
      <c r="I18" s="333" t="s">
        <v>2543</v>
      </c>
    </row>
    <row r="19" spans="1:9" ht="18.75" customHeight="1">
      <c r="A19" s="961"/>
      <c r="B19" s="962"/>
      <c r="C19" s="962"/>
      <c r="D19" s="963"/>
      <c r="F19" s="579" t="s">
        <v>2427</v>
      </c>
      <c r="G19" s="972" t="s">
        <v>2541</v>
      </c>
      <c r="H19" s="972"/>
    </row>
    <row r="20" spans="1:9" ht="16.5" customHeight="1">
      <c r="A20" s="961"/>
      <c r="B20" s="962"/>
      <c r="C20" s="962"/>
      <c r="D20" s="963"/>
      <c r="F20" s="612" t="s">
        <v>2426</v>
      </c>
      <c r="G20" s="937">
        <v>2.5</v>
      </c>
      <c r="H20" s="937"/>
    </row>
    <row r="21" spans="1:9" ht="16.5" customHeight="1">
      <c r="A21" s="961"/>
      <c r="B21" s="962"/>
      <c r="C21" s="962"/>
      <c r="D21" s="963"/>
      <c r="F21" s="573" t="s">
        <v>2428</v>
      </c>
      <c r="G21" s="937" t="s">
        <v>2537</v>
      </c>
      <c r="H21" s="937"/>
    </row>
    <row r="22" spans="1:9" ht="14.25">
      <c r="A22" s="961"/>
      <c r="B22" s="962"/>
      <c r="C22" s="962"/>
      <c r="D22" s="963"/>
    </row>
    <row r="23" spans="1:9" ht="14.25">
      <c r="A23" s="961"/>
      <c r="B23" s="962"/>
      <c r="C23" s="962"/>
      <c r="D23" s="963"/>
    </row>
    <row r="24" spans="1:9" ht="15" thickBot="1">
      <c r="A24" s="964"/>
      <c r="B24" s="965"/>
      <c r="C24" s="965"/>
      <c r="D24" s="966"/>
    </row>
    <row r="25" spans="1:9" ht="14.25">
      <c r="A25" s="868" t="s">
        <v>2572</v>
      </c>
      <c r="B25" s="869"/>
      <c r="C25" s="869"/>
      <c r="D25" s="870"/>
    </row>
    <row r="26" spans="1:9" ht="14.25">
      <c r="A26" s="871"/>
      <c r="B26" s="872"/>
      <c r="C26" s="872"/>
      <c r="D26" s="873"/>
    </row>
    <row r="27" spans="1:9" ht="14.25" customHeight="1">
      <c r="A27" s="871"/>
      <c r="B27" s="872"/>
      <c r="C27" s="872"/>
      <c r="D27" s="873"/>
    </row>
    <row r="28" spans="1:9" ht="14.25">
      <c r="A28" s="871"/>
      <c r="B28" s="872"/>
      <c r="C28" s="872"/>
      <c r="D28" s="873"/>
    </row>
    <row r="29" spans="1:9" ht="14.25" customHeight="1">
      <c r="A29" s="871"/>
      <c r="B29" s="872"/>
      <c r="C29" s="872"/>
      <c r="D29" s="873"/>
    </row>
    <row r="30" spans="1:9" ht="14.25">
      <c r="A30" s="871"/>
      <c r="B30" s="872"/>
      <c r="C30" s="872"/>
      <c r="D30" s="873"/>
    </row>
    <row r="31" spans="1:9" ht="14.25" customHeight="1" thickBot="1">
      <c r="A31" s="874"/>
      <c r="B31" s="875"/>
      <c r="C31" s="875"/>
      <c r="D31" s="876"/>
    </row>
    <row r="32" spans="1:9" ht="14.25"/>
    <row r="33" ht="14.25"/>
    <row r="34" ht="25.5" customHeight="1"/>
    <row r="35" ht="14.25" customHeight="1"/>
    <row r="36" ht="14.25" customHeight="1"/>
    <row r="37" ht="14.25" customHeight="1"/>
    <row r="38" ht="14.25" customHeight="1"/>
    <row r="39" ht="14.25" customHeight="1"/>
    <row r="40" ht="15" customHeight="1"/>
    <row r="41" ht="14.25" customHeight="1"/>
    <row r="42" ht="14.25"/>
    <row r="43" ht="14.25"/>
    <row r="44" ht="14.25"/>
    <row r="45" ht="14.25"/>
    <row r="46" ht="14.25"/>
    <row r="47" ht="14.25"/>
    <row r="48" ht="14.25"/>
    <row r="49" ht="14.25"/>
    <row r="50" ht="14.25"/>
    <row r="51" ht="14.25"/>
    <row r="52" ht="14.25"/>
    <row r="53" ht="14.25"/>
    <row r="54" ht="14.25"/>
    <row r="55" ht="14.25"/>
    <row r="56" ht="14.25"/>
    <row r="57" ht="14.25"/>
    <row r="58" ht="14.25"/>
    <row r="59" ht="14.25"/>
    <row r="60" ht="14.25"/>
    <row r="61" ht="14.25"/>
    <row r="62" ht="14.25"/>
    <row r="63" ht="14.25"/>
    <row r="64" ht="14.25"/>
    <row r="65" ht="14.25"/>
    <row r="66" ht="14.25"/>
    <row r="67" ht="14.25"/>
    <row r="68" ht="15" customHeight="1"/>
    <row r="69" ht="14.25"/>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5" customHeight="1"/>
    <row r="86" ht="14.25" customHeight="1"/>
    <row r="87" ht="14.25" customHeight="1"/>
    <row r="88" ht="15" customHeight="1"/>
    <row r="89" ht="14.25"/>
    <row r="90" ht="14.25"/>
    <row r="91" ht="14.25"/>
    <row r="92" ht="16.5" customHeight="1"/>
    <row r="93" ht="14.25"/>
    <row r="94" ht="14.25"/>
    <row r="95" ht="14.25"/>
    <row r="96" ht="14.25"/>
    <row r="97" ht="14.25"/>
    <row r="98" ht="14.25"/>
    <row r="99" ht="14.25"/>
    <row r="100" ht="14.25"/>
    <row r="101" ht="14.25"/>
    <row r="102" ht="14.25"/>
    <row r="103" ht="14.25"/>
    <row r="104" ht="14.25"/>
    <row r="105" ht="14.25"/>
    <row r="106" ht="14.25"/>
    <row r="107" ht="14.25"/>
    <row r="108" ht="14.25"/>
    <row r="109" ht="14.25"/>
    <row r="110" ht="14.25"/>
    <row r="111" ht="14.25"/>
    <row r="112" ht="14.25"/>
    <row r="113" ht="14.25"/>
    <row r="114" ht="14.25"/>
    <row r="115" ht="14.25"/>
    <row r="116" ht="14.25"/>
    <row r="117" ht="14.25"/>
    <row r="118" ht="14.25"/>
    <row r="119" ht="14.25"/>
    <row r="120" ht="14.25"/>
    <row r="121" ht="14.25"/>
    <row r="123" ht="14.25"/>
    <row r="124" ht="14.25"/>
    <row r="125" ht="14.25"/>
  </sheetData>
  <sheetProtection password="828E" sheet="1" objects="1" scenarios="1"/>
  <mergeCells count="33">
    <mergeCell ref="A25:D31"/>
    <mergeCell ref="A17:D24"/>
    <mergeCell ref="M11:N11"/>
    <mergeCell ref="M12:N12"/>
    <mergeCell ref="A1:D1"/>
    <mergeCell ref="M13:N13"/>
    <mergeCell ref="M14:N14"/>
    <mergeCell ref="M15:N15"/>
    <mergeCell ref="C5:D5"/>
    <mergeCell ref="A2:D2"/>
    <mergeCell ref="A9:D9"/>
    <mergeCell ref="C12:D12"/>
    <mergeCell ref="H5:H6"/>
    <mergeCell ref="F5:G5"/>
    <mergeCell ref="F6:G6"/>
    <mergeCell ref="G19:H19"/>
    <mergeCell ref="O5:O6"/>
    <mergeCell ref="O3:O4"/>
    <mergeCell ref="M8:P8"/>
    <mergeCell ref="O9:O10"/>
    <mergeCell ref="P9:P10"/>
    <mergeCell ref="G20:H20"/>
    <mergeCell ref="G21:H21"/>
    <mergeCell ref="O15:P15"/>
    <mergeCell ref="M9:N10"/>
    <mergeCell ref="F9:H9"/>
    <mergeCell ref="F14:G15"/>
    <mergeCell ref="H14:K15"/>
    <mergeCell ref="F10:F13"/>
    <mergeCell ref="G12:G13"/>
    <mergeCell ref="G10:G11"/>
    <mergeCell ref="F16:G16"/>
    <mergeCell ref="H16:K16"/>
  </mergeCells>
  <phoneticPr fontId="4" type="noConversion"/>
  <dataValidations count="2">
    <dataValidation type="list" allowBlank="1" showInputMessage="1" showErrorMessage="1" sqref="F4">
      <formula1>"1,2,2.5,3,4,5,6,8,10,12,14,16,18,20,24,27,30,33,36"</formula1>
    </dataValidation>
    <dataValidation type="list" allowBlank="1" showInputMessage="1" showErrorMessage="1" sqref="G4">
      <formula1>"3.6,,4.6,4.8,5.6,5.8,6.8,8.8,9.8,10.9,12.9"</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sheetPr codeName="Sheet15"/>
  <dimension ref="A1:AI77"/>
  <sheetViews>
    <sheetView topLeftCell="A10" workbookViewId="0">
      <selection activeCell="K27" sqref="K27"/>
    </sheetView>
  </sheetViews>
  <sheetFormatPr defaultColWidth="15.625" defaultRowHeight="20.100000000000001" customHeight="1"/>
  <cols>
    <col min="1" max="1" width="14.75" style="261" customWidth="1"/>
    <col min="2" max="2" width="20.5" style="261" customWidth="1"/>
    <col min="3" max="3" width="15.625" style="311"/>
    <col min="4" max="4" width="17.625" style="261" customWidth="1"/>
    <col min="5" max="5" width="5.625" style="261" customWidth="1"/>
    <col min="6" max="14" width="8.625" style="261" customWidth="1"/>
    <col min="15" max="15" width="21.5" style="261" customWidth="1"/>
    <col min="16" max="20" width="14.625" style="261" customWidth="1"/>
    <col min="21" max="22" width="10.625" style="261" customWidth="1"/>
    <col min="23" max="28" width="8.625" style="261" customWidth="1"/>
    <col min="29" max="16384" width="15.625" style="261"/>
  </cols>
  <sheetData>
    <row r="1" spans="1:35" ht="21.95" customHeight="1">
      <c r="A1" s="775" t="s">
        <v>2571</v>
      </c>
      <c r="B1" s="776"/>
      <c r="C1" s="776"/>
      <c r="D1" s="776"/>
    </row>
    <row r="2" spans="1:35" ht="20.100000000000001" customHeight="1">
      <c r="A2" s="752" t="s">
        <v>2567</v>
      </c>
      <c r="B2" s="752"/>
      <c r="C2" s="752"/>
      <c r="D2" s="752"/>
      <c r="F2" s="333" t="s">
        <v>2487</v>
      </c>
      <c r="AC2" s="261" t="s">
        <v>110</v>
      </c>
    </row>
    <row r="3" spans="1:35" ht="20.100000000000001" customHeight="1">
      <c r="A3" s="266" t="s">
        <v>753</v>
      </c>
      <c r="B3" s="266" t="s">
        <v>754</v>
      </c>
      <c r="C3" s="653" t="s">
        <v>755</v>
      </c>
      <c r="D3" s="266" t="s">
        <v>762</v>
      </c>
      <c r="F3" s="1019" t="s">
        <v>2437</v>
      </c>
      <c r="G3" s="1019"/>
      <c r="H3" s="1019"/>
      <c r="I3" s="1016" t="s">
        <v>2448</v>
      </c>
      <c r="J3" s="1017"/>
      <c r="K3" s="1016" t="s">
        <v>2449</v>
      </c>
      <c r="L3" s="1017"/>
      <c r="M3" s="1016" t="s">
        <v>2450</v>
      </c>
      <c r="N3" s="1017"/>
      <c r="O3" s="650" t="s">
        <v>2451</v>
      </c>
      <c r="Z3" s="268"/>
      <c r="AA3" s="268"/>
      <c r="AB3" s="268"/>
      <c r="AC3" s="268"/>
      <c r="AD3" s="268"/>
      <c r="AE3" s="268"/>
      <c r="AF3" s="268"/>
      <c r="AI3" s="261" t="s">
        <v>720</v>
      </c>
    </row>
    <row r="4" spans="1:35" ht="20.100000000000001" customHeight="1">
      <c r="A4" s="753" t="s">
        <v>2470</v>
      </c>
      <c r="B4" s="597" t="s">
        <v>2436</v>
      </c>
      <c r="C4" s="701">
        <v>79</v>
      </c>
      <c r="D4" s="597" t="s">
        <v>2464</v>
      </c>
      <c r="F4" s="1004" t="s">
        <v>2461</v>
      </c>
      <c r="G4" s="1020" t="s">
        <v>2447</v>
      </c>
      <c r="H4" s="1021"/>
      <c r="I4" s="1024">
        <v>79</v>
      </c>
      <c r="J4" s="997"/>
      <c r="K4" s="996" t="s">
        <v>2565</v>
      </c>
      <c r="L4" s="997"/>
      <c r="M4" s="1018"/>
      <c r="N4" s="1018"/>
      <c r="O4" s="990" t="s">
        <v>2454</v>
      </c>
      <c r="Z4" s="270"/>
      <c r="AA4" s="270"/>
      <c r="AB4" s="270"/>
      <c r="AC4" s="270"/>
      <c r="AD4" s="270"/>
      <c r="AE4" s="270"/>
      <c r="AF4" s="270"/>
      <c r="AI4" s="261" t="s">
        <v>721</v>
      </c>
    </row>
    <row r="5" spans="1:35" ht="20.100000000000001" customHeight="1">
      <c r="A5" s="754"/>
      <c r="B5" s="266" t="s">
        <v>2431</v>
      </c>
      <c r="C5" s="326">
        <v>4</v>
      </c>
      <c r="D5" s="266"/>
      <c r="F5" s="1005"/>
      <c r="G5" s="1022" t="s">
        <v>2446</v>
      </c>
      <c r="H5" s="1023"/>
      <c r="I5" s="998"/>
      <c r="J5" s="999"/>
      <c r="K5" s="998"/>
      <c r="L5" s="999"/>
      <c r="M5" s="1018"/>
      <c r="N5" s="1018"/>
      <c r="O5" s="990"/>
      <c r="Z5" s="276"/>
      <c r="AA5" s="276"/>
      <c r="AB5" s="276"/>
      <c r="AC5" s="276"/>
      <c r="AD5" s="276"/>
      <c r="AE5" s="276"/>
      <c r="AF5" s="276"/>
      <c r="AI5" s="261" t="s">
        <v>722</v>
      </c>
    </row>
    <row r="6" spans="1:35" ht="20.100000000000001" customHeight="1">
      <c r="A6" s="755"/>
      <c r="B6" s="266" t="s">
        <v>2432</v>
      </c>
      <c r="C6" s="326">
        <v>20</v>
      </c>
      <c r="D6" s="266"/>
      <c r="F6" s="1010" t="s">
        <v>2463</v>
      </c>
      <c r="G6" s="1011"/>
      <c r="H6" s="1012"/>
      <c r="I6" s="998"/>
      <c r="J6" s="999"/>
      <c r="K6" s="998"/>
      <c r="L6" s="999"/>
      <c r="M6" s="998" t="s">
        <v>2442</v>
      </c>
      <c r="N6" s="999"/>
      <c r="O6" s="987" t="s">
        <v>2452</v>
      </c>
      <c r="Z6" s="281"/>
      <c r="AA6" s="281"/>
      <c r="AB6" s="281"/>
      <c r="AC6" s="281"/>
      <c r="AD6" s="281"/>
      <c r="AE6" s="281"/>
      <c r="AF6" s="281"/>
      <c r="AI6" s="261" t="s">
        <v>723</v>
      </c>
    </row>
    <row r="7" spans="1:35" ht="20.100000000000001" customHeight="1">
      <c r="A7" s="989" t="s">
        <v>2501</v>
      </c>
      <c r="B7" s="266" t="s">
        <v>2468</v>
      </c>
      <c r="C7" s="653">
        <f>C6/C5</f>
        <v>5</v>
      </c>
      <c r="D7" s="266" t="s">
        <v>2473</v>
      </c>
      <c r="F7" s="1008" t="s">
        <v>2462</v>
      </c>
      <c r="G7" s="1009"/>
      <c r="H7" s="811"/>
      <c r="I7" s="1000"/>
      <c r="J7" s="1001"/>
      <c r="K7" s="1000"/>
      <c r="L7" s="1001"/>
      <c r="M7" s="1000"/>
      <c r="N7" s="1001"/>
      <c r="O7" s="988"/>
      <c r="Z7" s="281"/>
      <c r="AA7" s="281"/>
      <c r="AB7" s="281"/>
      <c r="AC7" s="281"/>
      <c r="AD7" s="281"/>
      <c r="AE7" s="281"/>
      <c r="AF7" s="281"/>
      <c r="AI7" s="261" t="s">
        <v>724</v>
      </c>
    </row>
    <row r="8" spans="1:35" ht="20.100000000000001" customHeight="1">
      <c r="A8" s="989"/>
      <c r="B8" s="266" t="s">
        <v>2469</v>
      </c>
      <c r="C8" s="287">
        <f>(4*C7-1)/(4*C7-4)+0.615/C7</f>
        <v>1.3105</v>
      </c>
      <c r="D8" s="266"/>
      <c r="F8" s="1010" t="s">
        <v>2438</v>
      </c>
      <c r="G8" s="1011"/>
      <c r="H8" s="1012"/>
      <c r="I8" s="1006">
        <v>73</v>
      </c>
      <c r="J8" s="995"/>
      <c r="K8" s="994">
        <v>193</v>
      </c>
      <c r="L8" s="995"/>
      <c r="M8" s="994"/>
      <c r="N8" s="995"/>
      <c r="O8" s="598" t="s">
        <v>2453</v>
      </c>
      <c r="Z8" s="281"/>
      <c r="AA8" s="281"/>
      <c r="AB8" s="281"/>
      <c r="AC8" s="281"/>
      <c r="AD8" s="281"/>
      <c r="AE8" s="281"/>
      <c r="AF8" s="281"/>
      <c r="AI8" s="261" t="s">
        <v>725</v>
      </c>
    </row>
    <row r="9" spans="1:35" ht="20.100000000000001" customHeight="1">
      <c r="A9" s="989"/>
      <c r="B9" s="345" t="s">
        <v>2466</v>
      </c>
      <c r="C9" s="712" t="s">
        <v>2471</v>
      </c>
      <c r="D9" s="266"/>
      <c r="F9" s="1002" t="s">
        <v>2439</v>
      </c>
      <c r="G9" s="1002"/>
      <c r="H9" s="1002"/>
      <c r="I9" s="977">
        <v>41</v>
      </c>
      <c r="J9" s="978"/>
      <c r="K9" s="977"/>
      <c r="L9" s="978"/>
      <c r="M9" s="977"/>
      <c r="N9" s="978"/>
      <c r="O9" s="987" t="s">
        <v>2455</v>
      </c>
      <c r="Z9" s="281"/>
      <c r="AA9" s="281"/>
      <c r="AB9" s="281"/>
      <c r="AC9" s="281"/>
      <c r="AD9" s="281"/>
      <c r="AE9" s="281"/>
      <c r="AF9" s="281"/>
      <c r="AI9" s="261" t="s">
        <v>726</v>
      </c>
    </row>
    <row r="10" spans="1:35" ht="20.100000000000001" customHeight="1">
      <c r="A10" s="989"/>
      <c r="B10" s="266" t="s">
        <v>2465</v>
      </c>
      <c r="C10" s="326">
        <v>684</v>
      </c>
      <c r="D10" s="380" t="s">
        <v>2579</v>
      </c>
      <c r="F10" s="1003" t="s">
        <v>2441</v>
      </c>
      <c r="G10" s="1003"/>
      <c r="H10" s="1003"/>
      <c r="I10" s="992">
        <v>40</v>
      </c>
      <c r="J10" s="993"/>
      <c r="K10" s="992">
        <v>93.2</v>
      </c>
      <c r="L10" s="993"/>
      <c r="M10" s="992" t="s">
        <v>2444</v>
      </c>
      <c r="N10" s="993"/>
      <c r="O10" s="988"/>
      <c r="Z10" s="281"/>
      <c r="AA10" s="281"/>
      <c r="AB10" s="281"/>
      <c r="AC10" s="281"/>
      <c r="AD10" s="281"/>
      <c r="AE10" s="281"/>
      <c r="AF10" s="281"/>
      <c r="AI10" s="261" t="s">
        <v>727</v>
      </c>
    </row>
    <row r="11" spans="1:35" ht="20.100000000000001" customHeight="1">
      <c r="A11" s="989"/>
      <c r="B11" s="266" t="str">
        <f>IF(C9="压缩弹簧","最大许用压力[F](N)","最大许用拉力[F](N)")</f>
        <v>最大许用压力[F](N)</v>
      </c>
      <c r="C11" s="412">
        <f>PI()*C5^3*C10/(8*C8*C6)</f>
        <v>655.88687525537375</v>
      </c>
      <c r="D11" s="285"/>
      <c r="F11" s="1002" t="s">
        <v>2440</v>
      </c>
      <c r="G11" s="1002"/>
      <c r="H11" s="1002"/>
      <c r="I11" s="977">
        <v>44</v>
      </c>
      <c r="J11" s="978"/>
      <c r="K11" s="977">
        <v>129.5</v>
      </c>
      <c r="L11" s="978"/>
      <c r="M11" s="977" t="s">
        <v>2443</v>
      </c>
      <c r="N11" s="978"/>
      <c r="O11" s="991"/>
      <c r="Z11" s="281"/>
      <c r="AA11" s="281"/>
      <c r="AB11" s="281"/>
      <c r="AC11" s="281"/>
      <c r="AD11" s="281"/>
      <c r="AE11" s="281"/>
      <c r="AF11" s="281"/>
      <c r="AI11" s="261" t="s">
        <v>728</v>
      </c>
    </row>
    <row r="12" spans="1:35" ht="20.100000000000001" customHeight="1">
      <c r="A12" s="989"/>
      <c r="B12" s="266" t="str">
        <f>IF(C9="压缩弹簧","实际负载压力F(N)","实际负载拉力F(N)")</f>
        <v>实际负载压力F(N)</v>
      </c>
      <c r="C12" s="713">
        <v>100</v>
      </c>
      <c r="D12" s="266"/>
      <c r="F12" s="268"/>
      <c r="G12" s="268"/>
      <c r="H12" s="268"/>
      <c r="I12" s="268"/>
      <c r="J12" s="268"/>
      <c r="K12" s="268"/>
      <c r="L12" s="602"/>
      <c r="W12" s="281"/>
      <c r="X12" s="281"/>
      <c r="Y12" s="281"/>
      <c r="Z12" s="281"/>
      <c r="AA12" s="281"/>
      <c r="AB12" s="281"/>
      <c r="AC12" s="281"/>
    </row>
    <row r="13" spans="1:35" ht="20.100000000000001" customHeight="1">
      <c r="A13" s="989"/>
      <c r="B13" s="345" t="s">
        <v>2472</v>
      </c>
      <c r="C13" s="1007" t="str">
        <f>IF(C12&lt;=C11,"校核合格","不合格")</f>
        <v>校核合格</v>
      </c>
      <c r="D13" s="968"/>
      <c r="F13" s="261" t="s">
        <v>2520</v>
      </c>
      <c r="G13" s="268"/>
      <c r="H13" s="268"/>
      <c r="I13" s="268"/>
      <c r="J13" s="268"/>
      <c r="K13" s="268"/>
      <c r="L13" s="602"/>
    </row>
    <row r="14" spans="1:35" ht="20.100000000000001" customHeight="1">
      <c r="A14" s="989" t="s">
        <v>2502</v>
      </c>
      <c r="B14" s="345" t="s">
        <v>2433</v>
      </c>
      <c r="C14" s="326">
        <v>7</v>
      </c>
      <c r="D14" s="266"/>
      <c r="F14" s="980" t="s">
        <v>2474</v>
      </c>
      <c r="G14" s="980"/>
      <c r="H14" s="706" t="s">
        <v>2475</v>
      </c>
      <c r="I14" s="707" t="s">
        <v>2476</v>
      </c>
      <c r="J14" s="707" t="s">
        <v>2477</v>
      </c>
      <c r="K14" s="707" t="s">
        <v>2478</v>
      </c>
      <c r="L14" s="707" t="s">
        <v>2479</v>
      </c>
      <c r="M14" s="707" t="s">
        <v>2480</v>
      </c>
      <c r="N14" s="261" t="s">
        <v>2488</v>
      </c>
    </row>
    <row r="15" spans="1:35" ht="20.100000000000001" customHeight="1">
      <c r="A15" s="989"/>
      <c r="B15" s="266" t="s">
        <v>2435</v>
      </c>
      <c r="C15" s="326">
        <f>C14-2</f>
        <v>5</v>
      </c>
      <c r="D15" s="348" t="s">
        <v>2434</v>
      </c>
      <c r="F15" s="981" t="s">
        <v>748</v>
      </c>
      <c r="G15" s="981"/>
      <c r="H15" s="708" t="s">
        <v>2481</v>
      </c>
      <c r="I15" s="709" t="s">
        <v>2482</v>
      </c>
      <c r="J15" s="709" t="s">
        <v>2483</v>
      </c>
      <c r="K15" s="709" t="s">
        <v>2484</v>
      </c>
      <c r="L15" s="709" t="s">
        <v>2485</v>
      </c>
      <c r="M15" s="709" t="s">
        <v>2486</v>
      </c>
      <c r="N15" s="607" t="s">
        <v>2489</v>
      </c>
    </row>
    <row r="16" spans="1:35" ht="20.100000000000001" customHeight="1">
      <c r="A16" s="989"/>
      <c r="B16" s="266" t="s">
        <v>2490</v>
      </c>
      <c r="C16" s="653">
        <f>C4*1000*C5^4/(8*C6^3*C15)</f>
        <v>63.2</v>
      </c>
      <c r="D16" s="266"/>
    </row>
    <row r="17" spans="1:13" ht="20.100000000000001" customHeight="1">
      <c r="A17" s="761" t="s">
        <v>2503</v>
      </c>
      <c r="B17" s="266" t="s">
        <v>2492</v>
      </c>
      <c r="C17" s="702">
        <v>100</v>
      </c>
      <c r="D17" s="266"/>
      <c r="F17" s="261" t="s">
        <v>2575</v>
      </c>
      <c r="M17" s="261" t="s">
        <v>2554</v>
      </c>
    </row>
    <row r="18" spans="1:13" ht="20.100000000000001" customHeight="1">
      <c r="A18" s="761"/>
      <c r="B18" s="266" t="s">
        <v>2491</v>
      </c>
      <c r="C18" s="287">
        <f>C17/C6</f>
        <v>5</v>
      </c>
      <c r="D18" s="266"/>
      <c r="F18" s="940" t="s">
        <v>115</v>
      </c>
      <c r="G18" s="940"/>
      <c r="H18" s="1025"/>
      <c r="I18" s="345" t="s">
        <v>117</v>
      </c>
      <c r="J18" s="906" t="s">
        <v>2576</v>
      </c>
      <c r="K18" s="906"/>
      <c r="L18" s="906"/>
    </row>
    <row r="19" spans="1:13" ht="20.100000000000001" customHeight="1">
      <c r="A19" s="761"/>
      <c r="B19" s="345" t="s">
        <v>2493</v>
      </c>
      <c r="C19" s="714" t="s">
        <v>2495</v>
      </c>
      <c r="D19" s="715"/>
      <c r="F19" s="979" t="s">
        <v>2574</v>
      </c>
      <c r="G19" s="979"/>
      <c r="H19" s="1026" t="s">
        <v>2581</v>
      </c>
      <c r="I19" s="1026"/>
      <c r="J19" s="906"/>
      <c r="K19" s="906"/>
      <c r="L19" s="906"/>
    </row>
    <row r="20" spans="1:13" ht="20.100000000000001" customHeight="1">
      <c r="A20" s="761"/>
      <c r="B20" s="345" t="s">
        <v>2494</v>
      </c>
      <c r="C20" s="1034" t="str">
        <f>IF(C19="两端固定",IF(C18&gt;=5.3,"须计算稳定性","稳定,无需计算稳定性"),IF(C19="两端自由转动",IF(C18&gt;=2.6,"须计算稳定性","稳定,无需计算稳定性"),IF(C19="一端固定一端自由转动",IF(C18&gt;=3.7,"须计算稳定性","稳定,无需计算稳定性"))))</f>
        <v>稳定,无需计算稳定性</v>
      </c>
      <c r="D20" s="1035"/>
      <c r="F20" s="983" t="s">
        <v>2456</v>
      </c>
      <c r="G20" s="983"/>
      <c r="H20" s="983"/>
      <c r="I20" s="712" t="s">
        <v>2566</v>
      </c>
      <c r="J20" s="906"/>
      <c r="K20" s="906"/>
      <c r="L20" s="906"/>
    </row>
    <row r="21" spans="1:13" ht="20.100000000000001" customHeight="1">
      <c r="A21" s="761"/>
      <c r="B21" s="266" t="s">
        <v>2496</v>
      </c>
      <c r="C21" s="430">
        <v>0.25</v>
      </c>
      <c r="D21" s="266" t="s">
        <v>2497</v>
      </c>
      <c r="F21" s="986" t="s">
        <v>2457</v>
      </c>
      <c r="G21" s="986"/>
      <c r="H21" s="986"/>
      <c r="I21" s="716">
        <v>0.9</v>
      </c>
      <c r="J21" s="906"/>
      <c r="K21" s="906"/>
      <c r="L21" s="906"/>
      <c r="M21" s="599"/>
    </row>
    <row r="22" spans="1:13" ht="20.100000000000001" customHeight="1">
      <c r="A22" s="761"/>
      <c r="B22" s="288" t="s">
        <v>2498</v>
      </c>
      <c r="C22" s="412">
        <f>C21*C16*C17</f>
        <v>1580</v>
      </c>
      <c r="D22" s="266"/>
      <c r="F22" s="982" t="s">
        <v>2458</v>
      </c>
      <c r="G22" s="982"/>
      <c r="H22" s="983"/>
      <c r="I22" s="717">
        <v>1320</v>
      </c>
      <c r="J22" s="906"/>
      <c r="K22" s="906"/>
      <c r="L22" s="906"/>
    </row>
    <row r="23" spans="1:13" ht="20.100000000000001" customHeight="1">
      <c r="A23" s="761"/>
      <c r="B23" s="604" t="s">
        <v>2499</v>
      </c>
      <c r="C23" s="328">
        <v>2000</v>
      </c>
      <c r="D23" s="292"/>
      <c r="F23" s="984" t="s">
        <v>2555</v>
      </c>
      <c r="G23" s="985"/>
      <c r="H23" s="985"/>
      <c r="I23" s="619">
        <f>IF(H19="碳素/琴钢丝",IF(I20="I",0.5*I22,IF(I20="II",0.6*I22,0.8*I22)),IF(I20="I",0.45*I22,IF(I20="II",0.55*I22,0.75*I22)))</f>
        <v>594</v>
      </c>
      <c r="J23" s="906"/>
      <c r="K23" s="906"/>
      <c r="L23" s="906"/>
      <c r="M23" s="599"/>
    </row>
    <row r="24" spans="1:13" ht="20.100000000000001" customHeight="1">
      <c r="A24" s="761"/>
      <c r="B24" s="345" t="s">
        <v>2500</v>
      </c>
      <c r="C24" s="1007" t="str">
        <f>IF(C20="须计算稳定性",IF(C23&lt;=C22,"稳定","不稳定"),"稳定，无需计算稳定性")</f>
        <v>稳定，无需计算稳定性</v>
      </c>
      <c r="D24" s="968"/>
      <c r="F24" s="982" t="s">
        <v>2556</v>
      </c>
      <c r="G24" s="982"/>
      <c r="H24" s="983"/>
      <c r="I24" s="619">
        <f>IF(H19="碳素/琴钢丝",IF(I20="I",0.3*I22,IF(I20="II",0.4*I22,0.5*I22)),IF(I20="I",0.28*I22,IF(#REF!="II",0.35*I22,0.45*I22)))</f>
        <v>369.6</v>
      </c>
      <c r="J24" s="906"/>
      <c r="K24" s="906"/>
      <c r="L24" s="906"/>
    </row>
    <row r="25" spans="1:13" ht="20.100000000000001" customHeight="1">
      <c r="A25" s="761"/>
      <c r="B25" s="1042" t="s">
        <v>2519</v>
      </c>
      <c r="C25" s="1043"/>
      <c r="D25" s="1044"/>
      <c r="F25" s="984" t="s">
        <v>2467</v>
      </c>
      <c r="G25" s="984"/>
      <c r="H25" s="985"/>
      <c r="I25" s="619">
        <f>0.8*I24</f>
        <v>295.68</v>
      </c>
      <c r="J25" s="906"/>
      <c r="K25" s="906"/>
      <c r="L25" s="906"/>
    </row>
    <row r="26" spans="1:13" ht="20.100000000000001" customHeight="1">
      <c r="A26" s="761"/>
      <c r="B26" s="1045"/>
      <c r="C26" s="1046"/>
      <c r="D26" s="1047"/>
      <c r="F26" s="333"/>
      <c r="G26" s="333"/>
      <c r="J26" s="601"/>
    </row>
    <row r="27" spans="1:13" ht="20.100000000000001" customHeight="1">
      <c r="A27" s="761"/>
      <c r="B27" s="1045"/>
      <c r="C27" s="1046"/>
      <c r="D27" s="1047"/>
      <c r="F27" s="261" t="s">
        <v>2578</v>
      </c>
    </row>
    <row r="28" spans="1:13" ht="20.100000000000001" customHeight="1">
      <c r="A28" s="761"/>
      <c r="B28" s="1048"/>
      <c r="C28" s="1049"/>
      <c r="D28" s="1050"/>
      <c r="F28" s="975" t="s">
        <v>2551</v>
      </c>
      <c r="G28" s="975" t="s">
        <v>2550</v>
      </c>
      <c r="H28" s="801" t="s">
        <v>2445</v>
      </c>
      <c r="I28" s="973" t="s">
        <v>2553</v>
      </c>
      <c r="J28" s="976" t="s">
        <v>2552</v>
      </c>
    </row>
    <row r="29" spans="1:13" ht="20.100000000000001" customHeight="1">
      <c r="A29" s="752" t="s">
        <v>2546</v>
      </c>
      <c r="B29" s="752"/>
      <c r="C29" s="752"/>
      <c r="D29" s="752"/>
      <c r="F29" s="975"/>
      <c r="G29" s="975"/>
      <c r="H29" s="801"/>
      <c r="I29" s="974"/>
      <c r="J29" s="976"/>
    </row>
    <row r="30" spans="1:13" ht="20.100000000000001" customHeight="1">
      <c r="A30" s="266" t="s">
        <v>753</v>
      </c>
      <c r="B30" s="266" t="s">
        <v>754</v>
      </c>
      <c r="C30" s="653" t="s">
        <v>755</v>
      </c>
      <c r="D30" s="266" t="s">
        <v>762</v>
      </c>
      <c r="F30" s="975"/>
      <c r="G30" s="975"/>
      <c r="H30" s="801"/>
      <c r="I30" s="974"/>
      <c r="J30" s="976"/>
    </row>
    <row r="31" spans="1:13" ht="20.100000000000001" customHeight="1">
      <c r="A31" s="753" t="s">
        <v>2021</v>
      </c>
      <c r="B31" s="597" t="s">
        <v>2562</v>
      </c>
      <c r="C31" s="701">
        <v>200</v>
      </c>
      <c r="D31" s="597" t="s">
        <v>1936</v>
      </c>
      <c r="F31" s="1036" t="s">
        <v>2568</v>
      </c>
      <c r="G31" s="614" t="s">
        <v>2549</v>
      </c>
      <c r="H31" s="620">
        <v>340</v>
      </c>
      <c r="I31" s="621">
        <v>445</v>
      </c>
      <c r="J31" s="622">
        <v>430</v>
      </c>
    </row>
    <row r="32" spans="1:13" ht="20.100000000000001" customHeight="1">
      <c r="A32" s="754"/>
      <c r="B32" s="266" t="s">
        <v>2431</v>
      </c>
      <c r="C32" s="326">
        <v>5</v>
      </c>
      <c r="D32" s="266"/>
      <c r="F32" s="1037"/>
      <c r="G32" s="613" t="s">
        <v>2459</v>
      </c>
      <c r="H32" s="623">
        <v>455</v>
      </c>
      <c r="I32" s="624">
        <v>590</v>
      </c>
      <c r="J32" s="622">
        <v>570</v>
      </c>
    </row>
    <row r="33" spans="1:10" ht="20.100000000000001" customHeight="1">
      <c r="A33" s="755"/>
      <c r="B33" s="266" t="s">
        <v>2432</v>
      </c>
      <c r="C33" s="326">
        <v>30</v>
      </c>
      <c r="D33" s="266"/>
      <c r="F33" s="1038"/>
      <c r="G33" s="613" t="s">
        <v>2460</v>
      </c>
      <c r="H33" s="623">
        <v>570</v>
      </c>
      <c r="I33" s="624">
        <v>740</v>
      </c>
      <c r="J33" s="622">
        <v>710</v>
      </c>
    </row>
    <row r="34" spans="1:10" ht="20.100000000000001" customHeight="1">
      <c r="A34" s="1013" t="s">
        <v>2501</v>
      </c>
      <c r="B34" s="266" t="s">
        <v>2548</v>
      </c>
      <c r="C34" s="287">
        <f>PI()*C32^3/32</f>
        <v>12.271846303085129</v>
      </c>
      <c r="D34" s="266"/>
      <c r="F34" s="1039" t="s">
        <v>2569</v>
      </c>
      <c r="G34" s="615" t="s">
        <v>2549</v>
      </c>
      <c r="H34" s="625">
        <v>285</v>
      </c>
      <c r="I34" s="626">
        <v>370</v>
      </c>
      <c r="J34" s="627">
        <v>360</v>
      </c>
    </row>
    <row r="35" spans="1:10" ht="20.100000000000001" customHeight="1">
      <c r="A35" s="1014"/>
      <c r="B35" s="266" t="s">
        <v>2468</v>
      </c>
      <c r="C35" s="653">
        <f>C33/C32</f>
        <v>6</v>
      </c>
      <c r="D35" s="616" t="s">
        <v>2473</v>
      </c>
      <c r="F35" s="1040"/>
      <c r="G35" s="615" t="s">
        <v>2459</v>
      </c>
      <c r="H35" s="625">
        <v>325</v>
      </c>
      <c r="I35" s="626">
        <v>420</v>
      </c>
      <c r="J35" s="627">
        <v>408</v>
      </c>
    </row>
    <row r="36" spans="1:10" ht="20.100000000000001" customHeight="1">
      <c r="A36" s="1014"/>
      <c r="B36" s="266" t="s">
        <v>2547</v>
      </c>
      <c r="C36" s="287">
        <f>(4*C35-1)/(4*C35-4)</f>
        <v>1.1499999999999999</v>
      </c>
      <c r="D36" s="266"/>
      <c r="F36" s="1041"/>
      <c r="G36" s="615" t="s">
        <v>2460</v>
      </c>
      <c r="H36" s="625">
        <v>380</v>
      </c>
      <c r="I36" s="626">
        <v>495</v>
      </c>
      <c r="J36" s="627">
        <v>475</v>
      </c>
    </row>
    <row r="37" spans="1:10" ht="20.100000000000001" customHeight="1">
      <c r="A37" s="1014"/>
      <c r="B37" s="266" t="s">
        <v>2557</v>
      </c>
      <c r="C37" s="326">
        <v>660</v>
      </c>
      <c r="D37" s="616" t="s">
        <v>2580</v>
      </c>
      <c r="F37" s="1036" t="s">
        <v>2570</v>
      </c>
      <c r="G37" s="613" t="s">
        <v>2549</v>
      </c>
      <c r="H37" s="623">
        <v>455</v>
      </c>
      <c r="I37" s="624">
        <v>590</v>
      </c>
      <c r="J37" s="622">
        <v>570</v>
      </c>
    </row>
    <row r="38" spans="1:10" ht="20.100000000000001" customHeight="1">
      <c r="A38" s="1014"/>
      <c r="B38" s="266" t="s">
        <v>2558</v>
      </c>
      <c r="C38" s="412">
        <f>C37*C34/C36/1000</f>
        <v>7.0429726609010315</v>
      </c>
      <c r="D38" s="285"/>
      <c r="F38" s="1037"/>
      <c r="G38" s="613" t="s">
        <v>2459</v>
      </c>
      <c r="H38" s="623">
        <v>570</v>
      </c>
      <c r="I38" s="624">
        <v>740</v>
      </c>
      <c r="J38" s="622">
        <v>710</v>
      </c>
    </row>
    <row r="39" spans="1:10" ht="20.100000000000001" customHeight="1">
      <c r="A39" s="1014"/>
      <c r="B39" s="266" t="s">
        <v>2559</v>
      </c>
      <c r="C39" s="713">
        <v>7</v>
      </c>
      <c r="D39" s="266"/>
      <c r="F39" s="1038"/>
      <c r="G39" s="613" t="s">
        <v>2460</v>
      </c>
      <c r="H39" s="623">
        <v>710</v>
      </c>
      <c r="I39" s="624">
        <v>925</v>
      </c>
      <c r="J39" s="622">
        <v>890</v>
      </c>
    </row>
    <row r="40" spans="1:10" ht="20.100000000000001" customHeight="1">
      <c r="A40" s="1015"/>
      <c r="B40" s="345" t="s">
        <v>2472</v>
      </c>
      <c r="C40" s="1007" t="str">
        <f>IF(C39&lt;=C38,"校核合格","不合格")</f>
        <v>校核合格</v>
      </c>
      <c r="D40" s="968"/>
      <c r="F40" s="600"/>
      <c r="G40" s="600"/>
    </row>
    <row r="41" spans="1:10" ht="20.100000000000001" customHeight="1">
      <c r="A41" s="1013" t="s">
        <v>2502</v>
      </c>
      <c r="B41" s="266" t="s">
        <v>2563</v>
      </c>
      <c r="C41" s="710">
        <f>PI()*C32^4/64</f>
        <v>30.679615757712824</v>
      </c>
      <c r="D41" s="350" t="s">
        <v>2564</v>
      </c>
      <c r="F41" s="603" t="s">
        <v>2504</v>
      </c>
      <c r="G41" s="600"/>
    </row>
    <row r="42" spans="1:10" ht="20.100000000000001" customHeight="1">
      <c r="A42" s="1014"/>
      <c r="B42" s="266" t="s">
        <v>2560</v>
      </c>
      <c r="C42" s="326">
        <v>50</v>
      </c>
      <c r="D42" s="266"/>
      <c r="F42" s="600"/>
      <c r="G42" s="600"/>
    </row>
    <row r="43" spans="1:10" ht="20.100000000000001" customHeight="1">
      <c r="A43" s="1014"/>
      <c r="B43" s="345" t="s">
        <v>2433</v>
      </c>
      <c r="C43" s="326">
        <v>13.5</v>
      </c>
      <c r="D43" s="266"/>
      <c r="F43" s="600"/>
      <c r="G43" s="600"/>
    </row>
    <row r="44" spans="1:10" ht="20.100000000000001" customHeight="1">
      <c r="A44" s="1014"/>
      <c r="B44" s="266" t="s">
        <v>2435</v>
      </c>
      <c r="C44" s="326">
        <f>C43-2</f>
        <v>11.5</v>
      </c>
      <c r="D44" s="348" t="s">
        <v>2434</v>
      </c>
      <c r="F44" s="600"/>
      <c r="G44" s="600"/>
    </row>
    <row r="45" spans="1:10" ht="20.100000000000001" customHeight="1">
      <c r="A45" s="1015"/>
      <c r="B45" s="266" t="s">
        <v>2561</v>
      </c>
      <c r="C45" s="287">
        <f>C31*1000*C41/(180*C33*C44)</f>
        <v>98.80713609569348</v>
      </c>
      <c r="D45" s="266"/>
      <c r="F45" s="600"/>
      <c r="G45" s="600"/>
    </row>
    <row r="46" spans="1:10" ht="20.100000000000001" customHeight="1" thickBot="1">
      <c r="A46" s="301"/>
      <c r="B46" s="301"/>
      <c r="C46" s="302"/>
      <c r="D46" s="301"/>
      <c r="F46" s="600"/>
      <c r="G46" s="600"/>
    </row>
    <row r="47" spans="1:10" ht="20.100000000000001" customHeight="1">
      <c r="A47" s="1028" t="s">
        <v>2582</v>
      </c>
      <c r="B47" s="1029"/>
      <c r="C47" s="1029"/>
      <c r="D47" s="1030"/>
      <c r="F47" s="600"/>
      <c r="G47" s="600"/>
    </row>
    <row r="48" spans="1:10" ht="20.100000000000001" customHeight="1">
      <c r="A48" s="1031"/>
      <c r="B48" s="1032"/>
      <c r="C48" s="1032"/>
      <c r="D48" s="1033"/>
      <c r="F48" s="600"/>
      <c r="G48" s="600"/>
    </row>
    <row r="49" spans="1:15" ht="20.100000000000001" customHeight="1">
      <c r="A49" s="1031"/>
      <c r="B49" s="1032"/>
      <c r="C49" s="1032"/>
      <c r="D49" s="1033"/>
      <c r="F49" s="600"/>
      <c r="G49" s="600"/>
    </row>
    <row r="50" spans="1:15" ht="20.100000000000001" customHeight="1">
      <c r="A50" s="1031"/>
      <c r="B50" s="1032"/>
      <c r="C50" s="1032"/>
      <c r="D50" s="1033"/>
      <c r="F50" s="600"/>
      <c r="G50" s="600"/>
    </row>
    <row r="51" spans="1:15" ht="20.100000000000001" customHeight="1">
      <c r="A51" s="1031"/>
      <c r="B51" s="1032"/>
      <c r="C51" s="1032"/>
      <c r="D51" s="1033"/>
      <c r="F51" s="600"/>
      <c r="G51" s="600"/>
    </row>
    <row r="52" spans="1:15" ht="20.100000000000001" customHeight="1" thickBot="1">
      <c r="A52" s="1031"/>
      <c r="B52" s="1032"/>
      <c r="C52" s="1032"/>
      <c r="D52" s="1033"/>
    </row>
    <row r="53" spans="1:15" ht="20.100000000000001" customHeight="1">
      <c r="A53" s="840" t="s">
        <v>2577</v>
      </c>
      <c r="B53" s="841"/>
      <c r="C53" s="841"/>
      <c r="D53" s="842"/>
    </row>
    <row r="54" spans="1:15" ht="20.100000000000001" customHeight="1">
      <c r="A54" s="785"/>
      <c r="B54" s="786"/>
      <c r="C54" s="786"/>
      <c r="D54" s="787"/>
    </row>
    <row r="55" spans="1:15" ht="20.100000000000001" customHeight="1">
      <c r="A55" s="785"/>
      <c r="B55" s="786"/>
      <c r="C55" s="786"/>
      <c r="D55" s="787"/>
    </row>
    <row r="56" spans="1:15" ht="20.100000000000001" customHeight="1" thickBot="1">
      <c r="A56" s="788"/>
      <c r="B56" s="789"/>
      <c r="C56" s="789"/>
      <c r="D56" s="790"/>
      <c r="F56" s="605" t="s">
        <v>2505</v>
      </c>
    </row>
    <row r="57" spans="1:15" ht="20.100000000000001" customHeight="1">
      <c r="A57" s="261" t="s">
        <v>2521</v>
      </c>
    </row>
    <row r="60" spans="1:15" ht="20.100000000000001" customHeight="1">
      <c r="O60" s="261">
        <v>7</v>
      </c>
    </row>
    <row r="68" spans="6:15" ht="20.100000000000001" customHeight="1">
      <c r="F68" s="1027" t="s">
        <v>2506</v>
      </c>
      <c r="G68" s="1027"/>
      <c r="H68" s="606"/>
      <c r="I68" s="651" t="s">
        <v>2508</v>
      </c>
      <c r="J68" s="651"/>
      <c r="K68" s="1027" t="s">
        <v>2507</v>
      </c>
      <c r="L68" s="1027"/>
      <c r="M68" s="1027"/>
    </row>
    <row r="69" spans="6:15" ht="20.100000000000001" customHeight="1">
      <c r="F69" s="261" t="s">
        <v>2509</v>
      </c>
    </row>
    <row r="70" spans="6:15" ht="20.100000000000001" customHeight="1">
      <c r="F70" s="617" t="s">
        <v>2510</v>
      </c>
      <c r="G70" s="618" t="s">
        <v>2512</v>
      </c>
      <c r="H70" s="296" t="s">
        <v>2513</v>
      </c>
      <c r="I70" s="296" t="s">
        <v>2514</v>
      </c>
      <c r="J70" s="296" t="s">
        <v>2515</v>
      </c>
      <c r="K70" s="296" t="s">
        <v>2516</v>
      </c>
      <c r="L70" s="296" t="s">
        <v>2517</v>
      </c>
      <c r="M70" s="296" t="s">
        <v>2518</v>
      </c>
    </row>
    <row r="71" spans="6:15" ht="20.100000000000001" customHeight="1">
      <c r="F71" s="274" t="s">
        <v>2511</v>
      </c>
      <c r="G71" s="655">
        <v>0.6</v>
      </c>
      <c r="H71" s="655">
        <v>1</v>
      </c>
      <c r="I71" s="655">
        <v>2</v>
      </c>
      <c r="J71" s="655">
        <v>3</v>
      </c>
      <c r="K71" s="655">
        <v>4</v>
      </c>
      <c r="L71" s="655">
        <v>5</v>
      </c>
      <c r="M71" s="655">
        <v>6</v>
      </c>
    </row>
    <row r="75" spans="6:15" ht="20.100000000000001" customHeight="1">
      <c r="G75" s="711"/>
      <c r="H75" s="711"/>
      <c r="I75" s="711"/>
      <c r="J75" s="711"/>
      <c r="K75" s="711"/>
      <c r="L75" s="711"/>
      <c r="M75" s="711"/>
    </row>
    <row r="76" spans="6:15" ht="20.100000000000001" customHeight="1">
      <c r="G76" s="711"/>
      <c r="H76" s="711"/>
      <c r="I76" s="711"/>
      <c r="J76" s="711"/>
      <c r="K76" s="711"/>
      <c r="L76" s="711"/>
      <c r="M76" s="711"/>
      <c r="O76" s="711"/>
    </row>
    <row r="77" spans="6:15" ht="20.100000000000001" customHeight="1">
      <c r="O77" s="711"/>
    </row>
  </sheetData>
  <sheetProtection password="828E" sheet="1" objects="1" scenarios="1"/>
  <dataConsolidate/>
  <mergeCells count="71">
    <mergeCell ref="K68:M68"/>
    <mergeCell ref="A17:A28"/>
    <mergeCell ref="A47:D52"/>
    <mergeCell ref="A53:D56"/>
    <mergeCell ref="C20:D20"/>
    <mergeCell ref="C24:D24"/>
    <mergeCell ref="F20:H20"/>
    <mergeCell ref="F23:H23"/>
    <mergeCell ref="F31:F33"/>
    <mergeCell ref="F34:F36"/>
    <mergeCell ref="A29:D29"/>
    <mergeCell ref="A31:A33"/>
    <mergeCell ref="C40:D40"/>
    <mergeCell ref="B25:D28"/>
    <mergeCell ref="F68:G68"/>
    <mergeCell ref="F37:F39"/>
    <mergeCell ref="A34:A40"/>
    <mergeCell ref="A41:A45"/>
    <mergeCell ref="M3:N3"/>
    <mergeCell ref="M6:N7"/>
    <mergeCell ref="M4:N5"/>
    <mergeCell ref="F3:H3"/>
    <mergeCell ref="F6:H6"/>
    <mergeCell ref="G4:H4"/>
    <mergeCell ref="G5:H5"/>
    <mergeCell ref="K3:L3"/>
    <mergeCell ref="I3:J3"/>
    <mergeCell ref="I4:J7"/>
    <mergeCell ref="I9:J9"/>
    <mergeCell ref="I10:J10"/>
    <mergeCell ref="F18:H18"/>
    <mergeCell ref="H19:I19"/>
    <mergeCell ref="A1:D1"/>
    <mergeCell ref="I8:J8"/>
    <mergeCell ref="A4:A6"/>
    <mergeCell ref="A7:A13"/>
    <mergeCell ref="C13:D13"/>
    <mergeCell ref="I11:J11"/>
    <mergeCell ref="A2:D2"/>
    <mergeCell ref="F7:H7"/>
    <mergeCell ref="F8:H8"/>
    <mergeCell ref="O6:O7"/>
    <mergeCell ref="A14:A16"/>
    <mergeCell ref="O4:O5"/>
    <mergeCell ref="O9:O11"/>
    <mergeCell ref="M10:N10"/>
    <mergeCell ref="M9:N9"/>
    <mergeCell ref="M11:N11"/>
    <mergeCell ref="M8:N8"/>
    <mergeCell ref="K4:L7"/>
    <mergeCell ref="K8:L8"/>
    <mergeCell ref="K9:L9"/>
    <mergeCell ref="F9:H9"/>
    <mergeCell ref="F10:H10"/>
    <mergeCell ref="F11:H11"/>
    <mergeCell ref="F4:F5"/>
    <mergeCell ref="K10:L10"/>
    <mergeCell ref="K11:L11"/>
    <mergeCell ref="F19:G19"/>
    <mergeCell ref="J18:L25"/>
    <mergeCell ref="F14:G14"/>
    <mergeCell ref="F15:G15"/>
    <mergeCell ref="F24:H24"/>
    <mergeCell ref="F25:H25"/>
    <mergeCell ref="F21:H21"/>
    <mergeCell ref="F22:H22"/>
    <mergeCell ref="I28:I30"/>
    <mergeCell ref="H28:H30"/>
    <mergeCell ref="G28:G30"/>
    <mergeCell ref="F28:F30"/>
    <mergeCell ref="J28:J30"/>
  </mergeCells>
  <phoneticPr fontId="4" type="noConversion"/>
  <dataValidations count="4">
    <dataValidation type="list" allowBlank="1" showInputMessage="1" showErrorMessage="1" sqref="I20">
      <formula1>"I,II,III"</formula1>
    </dataValidation>
    <dataValidation type="list" allowBlank="1" showInputMessage="1" showErrorMessage="1" sqref="H19">
      <formula1>"碳素/琴钢丝,不锈钢丝"</formula1>
    </dataValidation>
    <dataValidation type="list" allowBlank="1" showInputMessage="1" showErrorMessage="1" sqref="C19">
      <formula1>"两端固定,一端固定一端自由转动,两端自由转动"</formula1>
    </dataValidation>
    <dataValidation type="list" allowBlank="1" showInputMessage="1" showErrorMessage="1" sqref="C9">
      <formula1>"压缩弹簧,拉伸弹簧"</formula1>
    </dataValidation>
  </dataValidations>
  <pageMargins left="0.7" right="0.7" top="0.75" bottom="0.75" header="0.3" footer="0.3"/>
  <pageSetup paperSize="9" orientation="portrait" horizontalDpi="0" verticalDpi="0" r:id="rId1"/>
  <drawing r:id="rId2"/>
  <legacyDrawing r:id="rId3"/>
  <oleObjects>
    <oleObject progId="Equations" shapeId="24579" r:id="rId4"/>
    <oleObject progId="Equations" shapeId="24581" r:id="rId5"/>
    <oleObject progId="Equations" shapeId="24582" r:id="rId6"/>
    <oleObject progId="Equations" shapeId="24584" r:id="rId7"/>
    <oleObject progId="Equations" shapeId="24585" r:id="rId8"/>
    <oleObject progId="Equations" shapeId="24586" r:id="rId9"/>
  </oleObjects>
</worksheet>
</file>

<file path=xl/worksheets/sheet9.xml><?xml version="1.0" encoding="utf-8"?>
<worksheet xmlns="http://schemas.openxmlformats.org/spreadsheetml/2006/main" xmlns:r="http://schemas.openxmlformats.org/officeDocument/2006/relationships">
  <sheetPr codeName="Sheet5"/>
  <dimension ref="A1:AK125"/>
  <sheetViews>
    <sheetView workbookViewId="0">
      <selection activeCell="E11" sqref="E11"/>
    </sheetView>
  </sheetViews>
  <sheetFormatPr defaultColWidth="15.625" defaultRowHeight="17.100000000000001" customHeight="1"/>
  <cols>
    <col min="1" max="1" width="15.625" style="261"/>
    <col min="2" max="2" width="20.5" style="261" customWidth="1"/>
    <col min="3" max="3" width="15.625" style="311"/>
    <col min="4" max="4" width="17.625" style="261" customWidth="1"/>
    <col min="5" max="5" width="5.625" style="261" customWidth="1"/>
    <col min="6" max="23" width="8.625" style="261" customWidth="1"/>
    <col min="24" max="16384" width="15.625" style="261"/>
  </cols>
  <sheetData>
    <row r="1" spans="1:37" ht="21.95" customHeight="1">
      <c r="A1" s="1051" t="s">
        <v>752</v>
      </c>
      <c r="B1" s="776"/>
      <c r="C1" s="776"/>
      <c r="D1" s="776"/>
    </row>
    <row r="2" spans="1:37" ht="17.100000000000001" customHeight="1" thickBot="1">
      <c r="A2" s="262" t="s">
        <v>761</v>
      </c>
      <c r="B2" s="262"/>
      <c r="C2" s="263"/>
      <c r="D2" s="262"/>
      <c r="F2" s="264" t="s">
        <v>715</v>
      </c>
      <c r="Y2" s="265" t="s">
        <v>871</v>
      </c>
      <c r="AK2" s="261" t="s">
        <v>110</v>
      </c>
    </row>
    <row r="3" spans="1:37" ht="17.100000000000001" customHeight="1">
      <c r="A3" s="266" t="s">
        <v>753</v>
      </c>
      <c r="B3" s="266" t="s">
        <v>754</v>
      </c>
      <c r="C3" s="267" t="s">
        <v>755</v>
      </c>
      <c r="D3" s="266" t="s">
        <v>762</v>
      </c>
      <c r="F3" s="1052" t="s">
        <v>801</v>
      </c>
      <c r="G3" s="1054" t="s">
        <v>707</v>
      </c>
      <c r="H3" s="1055"/>
      <c r="I3" s="1055"/>
      <c r="J3" s="1055"/>
      <c r="K3" s="1055"/>
      <c r="L3" s="1056"/>
      <c r="M3" s="1057" t="s">
        <v>816</v>
      </c>
      <c r="N3" s="1057"/>
      <c r="O3" s="1057"/>
      <c r="P3" s="1057"/>
      <c r="Q3" s="1057"/>
      <c r="R3" s="1058"/>
      <c r="V3" s="268"/>
      <c r="W3" s="268"/>
      <c r="X3" s="268"/>
      <c r="Y3" s="265" t="s">
        <v>872</v>
      </c>
      <c r="Z3" s="268"/>
      <c r="AA3" s="268"/>
      <c r="AB3" s="268"/>
      <c r="AC3" s="268"/>
      <c r="AD3" s="268"/>
      <c r="AE3" s="268"/>
      <c r="AF3" s="268"/>
      <c r="AG3" s="268"/>
      <c r="AH3" s="268"/>
      <c r="AK3" s="261" t="s">
        <v>720</v>
      </c>
    </row>
    <row r="4" spans="1:37" ht="17.100000000000001" customHeight="1">
      <c r="A4" s="1059" t="s">
        <v>756</v>
      </c>
      <c r="B4" s="266" t="s">
        <v>763</v>
      </c>
      <c r="C4" s="326">
        <v>4</v>
      </c>
      <c r="D4" s="266"/>
      <c r="F4" s="1053"/>
      <c r="G4" s="1062" t="s">
        <v>802</v>
      </c>
      <c r="H4" s="1063"/>
      <c r="I4" s="1064"/>
      <c r="J4" s="1065" t="s">
        <v>803</v>
      </c>
      <c r="K4" s="1066"/>
      <c r="L4" s="1067"/>
      <c r="M4" s="1068" t="s">
        <v>817</v>
      </c>
      <c r="N4" s="1068"/>
      <c r="O4" s="1068"/>
      <c r="P4" s="1068"/>
      <c r="Q4" s="1068"/>
      <c r="R4" s="1069"/>
      <c r="V4" s="270"/>
      <c r="W4" s="270"/>
      <c r="X4" s="270"/>
      <c r="Y4" s="265" t="s">
        <v>873</v>
      </c>
      <c r="Z4" s="270"/>
      <c r="AA4" s="270"/>
      <c r="AB4" s="270"/>
      <c r="AC4" s="270"/>
      <c r="AD4" s="270"/>
      <c r="AE4" s="270"/>
      <c r="AF4" s="270"/>
      <c r="AG4" s="270"/>
      <c r="AH4" s="270"/>
      <c r="AK4" s="261" t="s">
        <v>721</v>
      </c>
    </row>
    <row r="5" spans="1:37" ht="17.100000000000001" customHeight="1">
      <c r="A5" s="1060"/>
      <c r="B5" s="266" t="s">
        <v>764</v>
      </c>
      <c r="C5" s="326">
        <v>1440</v>
      </c>
      <c r="D5" s="266"/>
      <c r="F5" s="1053"/>
      <c r="G5" s="271" t="s">
        <v>708</v>
      </c>
      <c r="H5" s="271" t="s">
        <v>709</v>
      </c>
      <c r="I5" s="271" t="s">
        <v>710</v>
      </c>
      <c r="J5" s="271" t="s">
        <v>708</v>
      </c>
      <c r="K5" s="271" t="s">
        <v>709</v>
      </c>
      <c r="L5" s="272" t="s">
        <v>710</v>
      </c>
      <c r="M5" s="273" t="s">
        <v>716</v>
      </c>
      <c r="N5" s="274" t="s">
        <v>813</v>
      </c>
      <c r="O5" s="274" t="s">
        <v>717</v>
      </c>
      <c r="P5" s="274" t="s">
        <v>718</v>
      </c>
      <c r="Q5" s="274" t="s">
        <v>814</v>
      </c>
      <c r="R5" s="275"/>
      <c r="V5" s="276"/>
      <c r="W5" s="276"/>
      <c r="X5" s="276"/>
      <c r="Y5" s="277" t="s">
        <v>874</v>
      </c>
      <c r="Z5" s="276"/>
      <c r="AA5" s="276"/>
      <c r="AB5" s="276"/>
      <c r="AC5" s="276"/>
      <c r="AD5" s="276"/>
      <c r="AE5" s="276"/>
      <c r="AF5" s="276"/>
      <c r="AG5" s="276"/>
      <c r="AH5" s="276"/>
      <c r="AK5" s="261" t="s">
        <v>722</v>
      </c>
    </row>
    <row r="6" spans="1:37" ht="17.100000000000001" customHeight="1" thickBot="1">
      <c r="A6" s="1061"/>
      <c r="B6" s="266" t="s">
        <v>765</v>
      </c>
      <c r="C6" s="326">
        <v>3</v>
      </c>
      <c r="D6" s="266"/>
      <c r="F6" s="1070" t="s">
        <v>711</v>
      </c>
      <c r="G6" s="1071">
        <v>1</v>
      </c>
      <c r="H6" s="1071">
        <v>1.1000000000000001</v>
      </c>
      <c r="I6" s="1071">
        <v>1.2</v>
      </c>
      <c r="J6" s="1071">
        <v>1.1000000000000001</v>
      </c>
      <c r="K6" s="1071">
        <v>1.2</v>
      </c>
      <c r="L6" s="1072">
        <v>1.3</v>
      </c>
      <c r="M6" s="278" t="s">
        <v>719</v>
      </c>
      <c r="N6" s="279">
        <v>1.05</v>
      </c>
      <c r="O6" s="279">
        <v>1.1100000000000001</v>
      </c>
      <c r="P6" s="279">
        <v>1.18</v>
      </c>
      <c r="Q6" s="279">
        <v>1.25</v>
      </c>
      <c r="R6" s="280"/>
      <c r="S6" s="281"/>
      <c r="T6" s="281"/>
      <c r="U6" s="281"/>
      <c r="V6" s="281"/>
      <c r="W6" s="281"/>
      <c r="X6" s="281"/>
      <c r="Y6" s="265" t="s">
        <v>875</v>
      </c>
      <c r="Z6" s="281"/>
      <c r="AA6" s="281"/>
      <c r="AB6" s="281"/>
      <c r="AC6" s="281"/>
      <c r="AD6" s="281"/>
      <c r="AE6" s="281"/>
      <c r="AF6" s="281"/>
      <c r="AG6" s="281"/>
      <c r="AH6" s="281"/>
      <c r="AK6" s="261" t="s">
        <v>723</v>
      </c>
    </row>
    <row r="7" spans="1:37" ht="17.100000000000001" customHeight="1">
      <c r="A7" s="1073" t="s">
        <v>766</v>
      </c>
      <c r="B7" s="266" t="s">
        <v>767</v>
      </c>
      <c r="C7" s="326">
        <v>1.1000000000000001</v>
      </c>
      <c r="D7" s="282" t="s">
        <v>823</v>
      </c>
      <c r="F7" s="1070"/>
      <c r="G7" s="1071"/>
      <c r="H7" s="1071"/>
      <c r="I7" s="1071"/>
      <c r="J7" s="1071"/>
      <c r="K7" s="1071"/>
      <c r="L7" s="1072"/>
      <c r="M7" s="281"/>
      <c r="N7" s="281"/>
      <c r="O7" s="281"/>
      <c r="P7" s="281"/>
      <c r="Q7" s="281"/>
      <c r="R7" s="281"/>
      <c r="S7" s="281"/>
      <c r="T7" s="281"/>
      <c r="U7" s="281"/>
      <c r="V7" s="281"/>
      <c r="W7" s="281"/>
      <c r="X7" s="281"/>
      <c r="Y7" s="265" t="s">
        <v>876</v>
      </c>
      <c r="Z7" s="281"/>
      <c r="AA7" s="281"/>
      <c r="AB7" s="281"/>
      <c r="AC7" s="281"/>
      <c r="AD7" s="281"/>
      <c r="AE7" s="281"/>
      <c r="AF7" s="281"/>
      <c r="AG7" s="281"/>
      <c r="AH7" s="281"/>
      <c r="AK7" s="261" t="s">
        <v>724</v>
      </c>
    </row>
    <row r="8" spans="1:37" ht="17.100000000000001" customHeight="1">
      <c r="A8" s="1073"/>
      <c r="B8" s="266" t="s">
        <v>768</v>
      </c>
      <c r="C8" s="267">
        <f>C4*C7</f>
        <v>4.4000000000000004</v>
      </c>
      <c r="D8" s="266"/>
      <c r="F8" s="1070" t="s">
        <v>712</v>
      </c>
      <c r="G8" s="1071">
        <v>1.1000000000000001</v>
      </c>
      <c r="H8" s="1071">
        <v>1.2</v>
      </c>
      <c r="I8" s="1071">
        <v>1.3</v>
      </c>
      <c r="J8" s="1071">
        <v>1.2</v>
      </c>
      <c r="K8" s="1071">
        <v>1.3</v>
      </c>
      <c r="L8" s="1072">
        <v>1.4</v>
      </c>
      <c r="M8" s="281"/>
      <c r="N8" s="281"/>
      <c r="O8" s="281"/>
      <c r="P8" s="281"/>
      <c r="Q8" s="281"/>
      <c r="R8" s="281"/>
      <c r="S8" s="281"/>
      <c r="T8" s="281"/>
      <c r="U8" s="281"/>
      <c r="V8" s="281"/>
      <c r="W8" s="281"/>
      <c r="X8" s="281"/>
      <c r="Y8" s="265" t="s">
        <v>877</v>
      </c>
      <c r="Z8" s="281"/>
      <c r="AA8" s="281"/>
      <c r="AB8" s="281"/>
      <c r="AC8" s="281"/>
      <c r="AD8" s="281"/>
      <c r="AE8" s="281"/>
      <c r="AF8" s="281"/>
      <c r="AG8" s="281"/>
      <c r="AH8" s="281"/>
      <c r="AK8" s="261" t="s">
        <v>725</v>
      </c>
    </row>
    <row r="9" spans="1:37" ht="17.100000000000001" customHeight="1">
      <c r="A9" s="283" t="s">
        <v>769</v>
      </c>
      <c r="B9" s="266" t="s">
        <v>757</v>
      </c>
      <c r="C9" s="327" t="s">
        <v>734</v>
      </c>
      <c r="D9" s="282" t="s">
        <v>824</v>
      </c>
      <c r="F9" s="1074"/>
      <c r="G9" s="1071"/>
      <c r="H9" s="1071"/>
      <c r="I9" s="1071"/>
      <c r="J9" s="1071"/>
      <c r="K9" s="1071"/>
      <c r="L9" s="1072"/>
      <c r="M9" s="281"/>
      <c r="N9" s="281"/>
      <c r="O9" s="281"/>
      <c r="P9" s="281"/>
      <c r="Q9" s="281"/>
      <c r="R9" s="281"/>
      <c r="S9" s="281"/>
      <c r="T9" s="281"/>
      <c r="U9" s="281"/>
      <c r="V9" s="281"/>
      <c r="W9" s="281"/>
      <c r="X9" s="281"/>
      <c r="Y9" s="265" t="s">
        <v>878</v>
      </c>
      <c r="Z9" s="281"/>
      <c r="AA9" s="281"/>
      <c r="AB9" s="281"/>
      <c r="AC9" s="281"/>
      <c r="AD9" s="281"/>
      <c r="AE9" s="281"/>
      <c r="AF9" s="281"/>
      <c r="AG9" s="281"/>
      <c r="AH9" s="281"/>
      <c r="AK9" s="261" t="s">
        <v>726</v>
      </c>
    </row>
    <row r="10" spans="1:37" ht="17.100000000000001" customHeight="1">
      <c r="A10" s="1073" t="s">
        <v>770</v>
      </c>
      <c r="B10" s="266" t="s">
        <v>771</v>
      </c>
      <c r="C10" s="326">
        <v>90</v>
      </c>
      <c r="D10" s="282" t="s">
        <v>822</v>
      </c>
      <c r="F10" s="1070" t="s">
        <v>713</v>
      </c>
      <c r="G10" s="1071">
        <v>1.2</v>
      </c>
      <c r="H10" s="1071">
        <v>1.3</v>
      </c>
      <c r="I10" s="1071">
        <v>1.4</v>
      </c>
      <c r="J10" s="1071">
        <v>1.4</v>
      </c>
      <c r="K10" s="1071">
        <v>1.5</v>
      </c>
      <c r="L10" s="1072">
        <v>1.6</v>
      </c>
      <c r="M10" s="281"/>
      <c r="N10" s="281"/>
      <c r="O10" s="281"/>
      <c r="P10" s="281"/>
      <c r="Q10" s="281"/>
      <c r="R10" s="281"/>
      <c r="S10" s="281"/>
      <c r="T10" s="281"/>
      <c r="U10" s="281"/>
      <c r="V10" s="281"/>
      <c r="W10" s="281"/>
      <c r="X10" s="281"/>
      <c r="Y10" s="265" t="s">
        <v>879</v>
      </c>
      <c r="Z10" s="281"/>
      <c r="AA10" s="281"/>
      <c r="AB10" s="281"/>
      <c r="AC10" s="281"/>
      <c r="AD10" s="281"/>
      <c r="AE10" s="281"/>
      <c r="AF10" s="281"/>
      <c r="AG10" s="281"/>
      <c r="AH10" s="281"/>
      <c r="AK10" s="261" t="s">
        <v>727</v>
      </c>
    </row>
    <row r="11" spans="1:37" ht="17.100000000000001" customHeight="1">
      <c r="A11" s="1073"/>
      <c r="B11" s="266" t="s">
        <v>772</v>
      </c>
      <c r="C11" s="284">
        <f>PI()*C10*C5/60000</f>
        <v>6.7858401317539538</v>
      </c>
      <c r="D11" s="285" t="s">
        <v>853</v>
      </c>
      <c r="F11" s="1074"/>
      <c r="G11" s="1071"/>
      <c r="H11" s="1071"/>
      <c r="I11" s="1071"/>
      <c r="J11" s="1071"/>
      <c r="K11" s="1071"/>
      <c r="L11" s="1072"/>
      <c r="M11" s="281"/>
      <c r="N11" s="281"/>
      <c r="O11" s="281"/>
      <c r="P11" s="281"/>
      <c r="Q11" s="281"/>
      <c r="R11" s="281"/>
      <c r="S11" s="281"/>
      <c r="T11" s="281"/>
      <c r="U11" s="281"/>
      <c r="V11" s="281"/>
      <c r="W11" s="281"/>
      <c r="X11" s="281"/>
      <c r="Y11" s="265" t="s">
        <v>880</v>
      </c>
      <c r="Z11" s="281"/>
      <c r="AA11" s="281"/>
      <c r="AB11" s="281"/>
      <c r="AC11" s="281"/>
      <c r="AD11" s="281"/>
      <c r="AE11" s="281"/>
      <c r="AF11" s="281"/>
      <c r="AG11" s="281"/>
      <c r="AH11" s="281"/>
      <c r="AK11" s="261" t="s">
        <v>728</v>
      </c>
    </row>
    <row r="12" spans="1:37" ht="17.100000000000001" customHeight="1">
      <c r="A12" s="1073"/>
      <c r="B12" s="266" t="s">
        <v>773</v>
      </c>
      <c r="C12" s="286">
        <f>C6*C10</f>
        <v>270</v>
      </c>
      <c r="D12" s="266"/>
      <c r="F12" s="1070" t="s">
        <v>714</v>
      </c>
      <c r="G12" s="1071">
        <v>1.3</v>
      </c>
      <c r="H12" s="1071">
        <v>1.4</v>
      </c>
      <c r="I12" s="1071">
        <v>1.5</v>
      </c>
      <c r="J12" s="1071">
        <v>1.5</v>
      </c>
      <c r="K12" s="1071">
        <v>1.6</v>
      </c>
      <c r="L12" s="1072">
        <v>1.8</v>
      </c>
      <c r="M12" s="281"/>
      <c r="N12" s="281"/>
      <c r="O12" s="281"/>
      <c r="P12" s="281"/>
      <c r="Q12" s="281"/>
      <c r="R12" s="281"/>
      <c r="S12" s="281"/>
      <c r="T12" s="281"/>
      <c r="U12" s="281"/>
      <c r="V12" s="281"/>
      <c r="W12" s="281"/>
      <c r="X12" s="281"/>
      <c r="Y12" s="265" t="s">
        <v>881</v>
      </c>
      <c r="Z12" s="281"/>
      <c r="AA12" s="281"/>
      <c r="AB12" s="281"/>
      <c r="AC12" s="281"/>
      <c r="AD12" s="281"/>
      <c r="AE12" s="281"/>
      <c r="AF12" s="281"/>
      <c r="AG12" s="281"/>
      <c r="AH12" s="281"/>
    </row>
    <row r="13" spans="1:37" ht="17.100000000000001" customHeight="1" thickBot="1">
      <c r="A13" s="1073"/>
      <c r="B13" s="266" t="s">
        <v>774</v>
      </c>
      <c r="C13" s="326">
        <v>315</v>
      </c>
      <c r="D13" s="282" t="s">
        <v>822</v>
      </c>
      <c r="F13" s="1078"/>
      <c r="G13" s="1079"/>
      <c r="H13" s="1079"/>
      <c r="I13" s="1079"/>
      <c r="J13" s="1079"/>
      <c r="K13" s="1079"/>
      <c r="L13" s="1080"/>
    </row>
    <row r="14" spans="1:37" ht="17.100000000000001" customHeight="1">
      <c r="A14" s="1081" t="s">
        <v>856</v>
      </c>
      <c r="B14" s="266" t="s">
        <v>775</v>
      </c>
      <c r="C14" s="326">
        <v>500</v>
      </c>
      <c r="D14" s="266" t="str">
        <f>0.7*(C10+C13)&amp;"~"&amp;2*(C10+C13)</f>
        <v>283.5~810</v>
      </c>
    </row>
    <row r="15" spans="1:37" ht="17.100000000000001" customHeight="1">
      <c r="A15" s="1082"/>
      <c r="B15" s="266" t="s">
        <v>776</v>
      </c>
      <c r="C15" s="287">
        <f>2*C14+0.5*PI()*(C10+C13)+(C13-C10)^2/(4*C14)</f>
        <v>1661.4850123519332</v>
      </c>
      <c r="D15" s="266"/>
      <c r="F15" s="261" t="s">
        <v>731</v>
      </c>
    </row>
    <row r="16" spans="1:37" ht="17.100000000000001" customHeight="1">
      <c r="A16" s="1082"/>
      <c r="B16" s="266" t="s">
        <v>777</v>
      </c>
      <c r="C16" s="326">
        <v>1600</v>
      </c>
      <c r="D16" s="282" t="s">
        <v>821</v>
      </c>
    </row>
    <row r="17" spans="1:4" ht="14.25">
      <c r="A17" s="1082"/>
      <c r="B17" s="266" t="s">
        <v>778</v>
      </c>
      <c r="C17" s="287">
        <f>C14+(C16-C15)/2</f>
        <v>469.25749382403342</v>
      </c>
      <c r="D17" s="266"/>
    </row>
    <row r="18" spans="1:4" ht="14.25">
      <c r="A18" s="1083"/>
      <c r="B18" s="266" t="s">
        <v>758</v>
      </c>
      <c r="C18" s="287" t="str">
        <f>ROUND((C17-0.015*C16),2)&amp;"~"&amp;ROUND((C17+0.03*C16),2)</f>
        <v>445.26~517.26</v>
      </c>
      <c r="D18" s="266" t="s">
        <v>759</v>
      </c>
    </row>
    <row r="19" spans="1:4" ht="14.25">
      <c r="A19" s="1084" t="s">
        <v>779</v>
      </c>
      <c r="B19" s="288" t="s">
        <v>780</v>
      </c>
      <c r="C19" s="289">
        <f>180-(C13-C10)*57.3/C17</f>
        <v>152.52574509798973</v>
      </c>
      <c r="D19" s="266" t="s">
        <v>760</v>
      </c>
    </row>
    <row r="20" spans="1:4" ht="14.25">
      <c r="A20" s="1085"/>
      <c r="B20" s="290" t="str">
        <f>IF(OR((C19&gt;90),(C19=90)),"α1≥90°")</f>
        <v>α1≥90°</v>
      </c>
      <c r="C20" s="291" t="str">
        <f>IF(OR((C19&gt;90),(C19=90)),"校验合格")</f>
        <v>校验合格</v>
      </c>
      <c r="D20" s="292" t="s">
        <v>781</v>
      </c>
    </row>
    <row r="21" spans="1:4" ht="14.25">
      <c r="A21" s="1086" t="s">
        <v>815</v>
      </c>
      <c r="B21" s="293" t="s">
        <v>782</v>
      </c>
      <c r="C21" s="328">
        <v>1.0640000000000001</v>
      </c>
      <c r="D21" s="282" t="s">
        <v>141</v>
      </c>
    </row>
    <row r="22" spans="1:4" ht="14.25">
      <c r="A22" s="1087"/>
      <c r="B22" s="292" t="s">
        <v>783</v>
      </c>
      <c r="C22" s="326">
        <v>0.17</v>
      </c>
      <c r="D22" s="282" t="s">
        <v>820</v>
      </c>
    </row>
    <row r="23" spans="1:4" ht="14.25">
      <c r="A23" s="1087"/>
      <c r="B23" s="292" t="s">
        <v>784</v>
      </c>
      <c r="C23" s="326">
        <v>0.99</v>
      </c>
      <c r="D23" s="282" t="s">
        <v>821</v>
      </c>
    </row>
    <row r="24" spans="1:4" ht="14.25">
      <c r="A24" s="1087"/>
      <c r="B24" s="292" t="s">
        <v>785</v>
      </c>
      <c r="C24" s="326">
        <v>0.92500000000000004</v>
      </c>
      <c r="D24" s="282" t="s">
        <v>136</v>
      </c>
    </row>
    <row r="25" spans="1:4" ht="14.25">
      <c r="A25" s="1087"/>
      <c r="B25" s="292" t="s">
        <v>786</v>
      </c>
      <c r="C25" s="287">
        <f>(C21+C22)*C23*C24</f>
        <v>1.1300355</v>
      </c>
      <c r="D25" s="287" t="s">
        <v>787</v>
      </c>
    </row>
    <row r="26" spans="1:4" ht="14.25">
      <c r="A26" s="1087"/>
      <c r="B26" s="292" t="s">
        <v>788</v>
      </c>
      <c r="C26" s="294">
        <f>C8/C25</f>
        <v>3.8936829860654822</v>
      </c>
      <c r="D26" s="266" t="s">
        <v>789</v>
      </c>
    </row>
    <row r="27" spans="1:4" ht="14.25">
      <c r="A27" s="295">
        <f>ROUND(C8/C21,2)</f>
        <v>4.1399999999999997</v>
      </c>
      <c r="B27" s="292" t="s">
        <v>790</v>
      </c>
      <c r="C27" s="329">
        <v>4</v>
      </c>
      <c r="D27" s="296" t="s">
        <v>792</v>
      </c>
    </row>
    <row r="28" spans="1:4" ht="14.25">
      <c r="A28" s="1088" t="s">
        <v>798</v>
      </c>
      <c r="B28" s="266" t="s">
        <v>791</v>
      </c>
      <c r="C28" s="297">
        <f>IF(C9=AK2,0.06,IF(C9=AK3,0.1,IF(C9=AK4,0.18,IF(C9=AK5,0.3,IF(C9=AK6,0.61,IF(C9=AK7,0.92,"请在C9选择带型"))))))</f>
        <v>0.1</v>
      </c>
      <c r="D28" s="298"/>
    </row>
    <row r="29" spans="1:4" ht="14.25">
      <c r="A29" s="1088"/>
      <c r="B29" s="266" t="s">
        <v>793</v>
      </c>
      <c r="C29" s="299">
        <f>500*C8*(2.5-C24)/(C24*C27*C11)+C28*C11^2</f>
        <v>142.61073805815536</v>
      </c>
      <c r="D29" s="1090" t="s">
        <v>796</v>
      </c>
    </row>
    <row r="30" spans="1:4" ht="14.25">
      <c r="A30" s="1088"/>
      <c r="B30" s="266" t="s">
        <v>794</v>
      </c>
      <c r="C30" s="299">
        <f>1.5*C29</f>
        <v>213.91610708723306</v>
      </c>
      <c r="D30" s="1091"/>
    </row>
    <row r="31" spans="1:4" ht="14.25">
      <c r="A31" s="1089"/>
      <c r="B31" s="266" t="s">
        <v>795</v>
      </c>
      <c r="C31" s="299">
        <f>1.3*C29</f>
        <v>185.39395947560197</v>
      </c>
      <c r="D31" s="1092"/>
    </row>
    <row r="32" spans="1:4" ht="14.25">
      <c r="A32" s="300" t="s">
        <v>797</v>
      </c>
      <c r="B32" s="266" t="s">
        <v>799</v>
      </c>
      <c r="C32" s="297" t="str">
        <f>ROUND(2*C27*SIN(RADIANS(0.5*C19)),2)&amp;"*F0"</f>
        <v>7.77*F0</v>
      </c>
      <c r="D32" s="296" t="s">
        <v>800</v>
      </c>
    </row>
    <row r="33" spans="1:18" ht="15" thickBot="1">
      <c r="A33" s="301"/>
      <c r="B33" s="301"/>
      <c r="C33" s="302"/>
      <c r="D33" s="301"/>
    </row>
    <row r="34" spans="1:18" ht="14.25">
      <c r="A34" s="1028" t="s">
        <v>854</v>
      </c>
      <c r="B34" s="1029"/>
      <c r="C34" s="1029"/>
      <c r="D34" s="1030"/>
    </row>
    <row r="35" spans="1:18" ht="14.25">
      <c r="A35" s="1031"/>
      <c r="B35" s="1032"/>
      <c r="C35" s="1032"/>
      <c r="D35" s="1033"/>
    </row>
    <row r="36" spans="1:18" ht="14.25">
      <c r="A36" s="1031"/>
      <c r="B36" s="1032"/>
      <c r="C36" s="1032"/>
      <c r="D36" s="1033"/>
    </row>
    <row r="37" spans="1:18" ht="14.25">
      <c r="A37" s="1031"/>
      <c r="B37" s="1032"/>
      <c r="C37" s="1032"/>
      <c r="D37" s="1033"/>
    </row>
    <row r="38" spans="1:18" ht="14.25">
      <c r="A38" s="1031"/>
      <c r="B38" s="1032"/>
      <c r="C38" s="1032"/>
      <c r="D38" s="1033"/>
      <c r="F38" s="261" t="s">
        <v>732</v>
      </c>
    </row>
    <row r="39" spans="1:18" ht="14.25">
      <c r="A39" s="1031"/>
      <c r="B39" s="1032"/>
      <c r="C39" s="1032"/>
      <c r="D39" s="1033"/>
      <c r="F39" s="1093" t="s">
        <v>828</v>
      </c>
      <c r="G39" s="1094" t="s">
        <v>857</v>
      </c>
      <c r="H39" s="1095"/>
      <c r="I39" s="1095"/>
      <c r="J39" s="1095"/>
      <c r="K39" s="1095"/>
      <c r="L39" s="1095"/>
      <c r="M39" s="1095"/>
      <c r="N39" s="1095"/>
      <c r="O39" s="1095"/>
      <c r="P39" s="1095"/>
      <c r="Q39" s="1095"/>
      <c r="R39" s="1096"/>
    </row>
    <row r="40" spans="1:18" ht="14.25">
      <c r="A40" s="1031"/>
      <c r="B40" s="1032"/>
      <c r="C40" s="1032"/>
      <c r="D40" s="1033"/>
      <c r="F40" s="1093"/>
      <c r="G40" s="1097"/>
      <c r="H40" s="1098"/>
      <c r="I40" s="1098"/>
      <c r="J40" s="1098"/>
      <c r="K40" s="1098"/>
      <c r="L40" s="1098"/>
      <c r="M40" s="1098"/>
      <c r="N40" s="1098"/>
      <c r="O40" s="1098"/>
      <c r="P40" s="1098"/>
      <c r="Q40" s="1098"/>
      <c r="R40" s="1099"/>
    </row>
    <row r="41" spans="1:18" ht="15" thickBot="1">
      <c r="A41" s="1075"/>
      <c r="B41" s="1076"/>
      <c r="C41" s="1076"/>
      <c r="D41" s="1077"/>
      <c r="F41" s="1093"/>
      <c r="G41" s="1100"/>
      <c r="H41" s="1101"/>
      <c r="I41" s="1101"/>
      <c r="J41" s="1101"/>
      <c r="K41" s="1101"/>
      <c r="L41" s="1101"/>
      <c r="M41" s="1101"/>
      <c r="N41" s="1101"/>
      <c r="O41" s="1101"/>
      <c r="P41" s="1101"/>
      <c r="Q41" s="1101"/>
      <c r="R41" s="1102"/>
    </row>
    <row r="42" spans="1:18" ht="14.25">
      <c r="A42" s="303"/>
      <c r="B42" s="303"/>
      <c r="C42" s="303"/>
      <c r="D42" s="303"/>
      <c r="G42" s="304"/>
      <c r="H42" s="304"/>
      <c r="I42" s="304"/>
      <c r="J42" s="304"/>
      <c r="K42" s="304"/>
      <c r="L42" s="304"/>
    </row>
    <row r="43" spans="1:18" ht="14.25">
      <c r="A43" s="303"/>
      <c r="B43" s="303"/>
      <c r="C43" s="303"/>
      <c r="D43" s="303"/>
      <c r="F43" s="261" t="s">
        <v>733</v>
      </c>
      <c r="G43" s="304"/>
      <c r="H43" s="304"/>
      <c r="I43" s="304"/>
      <c r="J43" s="304"/>
      <c r="K43" s="304"/>
      <c r="L43" s="304"/>
    </row>
    <row r="44" spans="1:18" ht="14.25">
      <c r="A44" s="303"/>
      <c r="B44" s="303"/>
      <c r="C44" s="303"/>
      <c r="D44" s="303"/>
      <c r="G44" s="304"/>
      <c r="H44" s="304"/>
      <c r="I44" s="304"/>
      <c r="J44" s="304"/>
      <c r="K44" s="304"/>
    </row>
    <row r="45" spans="1:18" ht="14.25">
      <c r="A45" s="303"/>
      <c r="B45" s="303"/>
      <c r="C45" s="303"/>
      <c r="D45" s="303"/>
    </row>
    <row r="46" spans="1:18" ht="14.25">
      <c r="A46" s="303"/>
      <c r="B46" s="303"/>
      <c r="C46" s="303"/>
      <c r="D46" s="303"/>
    </row>
    <row r="47" spans="1:18" ht="14.25">
      <c r="A47" s="303"/>
      <c r="B47" s="303"/>
      <c r="C47" s="303"/>
      <c r="D47" s="303"/>
    </row>
    <row r="48" spans="1:18" ht="14.25">
      <c r="A48" s="303"/>
      <c r="B48" s="303"/>
      <c r="C48" s="303"/>
      <c r="D48" s="303"/>
    </row>
    <row r="49" spans="1:4" ht="14.25">
      <c r="A49" s="301"/>
      <c r="B49" s="301"/>
      <c r="C49" s="302"/>
      <c r="D49" s="301"/>
    </row>
    <row r="50" spans="1:4" ht="14.25">
      <c r="A50" s="301"/>
      <c r="B50" s="301"/>
      <c r="C50" s="302"/>
      <c r="D50" s="301"/>
    </row>
    <row r="51" spans="1:4" ht="14.25">
      <c r="A51" s="301"/>
      <c r="B51" s="301"/>
      <c r="C51" s="302"/>
      <c r="D51" s="301"/>
    </row>
    <row r="52" spans="1:4" ht="14.25">
      <c r="A52" s="301"/>
      <c r="B52" s="301"/>
      <c r="C52" s="302"/>
      <c r="D52" s="301"/>
    </row>
    <row r="53" spans="1:4" ht="14.25">
      <c r="A53" s="301"/>
      <c r="B53" s="301"/>
      <c r="C53" s="302"/>
      <c r="D53" s="301"/>
    </row>
    <row r="54" spans="1:4" ht="14.25">
      <c r="A54" s="301"/>
      <c r="B54" s="301"/>
      <c r="C54" s="302"/>
      <c r="D54" s="301"/>
    </row>
    <row r="55" spans="1:4" ht="14.25">
      <c r="A55" s="301"/>
      <c r="B55" s="301"/>
      <c r="C55" s="302"/>
      <c r="D55" s="301"/>
    </row>
    <row r="56" spans="1:4" ht="14.25">
      <c r="A56" s="301"/>
      <c r="B56" s="301"/>
      <c r="C56" s="302"/>
      <c r="D56" s="301"/>
    </row>
    <row r="57" spans="1:4" ht="14.25">
      <c r="A57" s="301"/>
      <c r="B57" s="301"/>
      <c r="C57" s="302"/>
      <c r="D57" s="301"/>
    </row>
    <row r="58" spans="1:4" ht="14.25">
      <c r="A58" s="301"/>
      <c r="B58" s="301"/>
      <c r="C58" s="302"/>
      <c r="D58" s="301"/>
    </row>
    <row r="59" spans="1:4" ht="14.25">
      <c r="A59" s="301"/>
      <c r="B59" s="301"/>
      <c r="C59" s="302"/>
      <c r="D59" s="301"/>
    </row>
    <row r="60" spans="1:4" ht="14.25">
      <c r="A60" s="301"/>
      <c r="B60" s="301"/>
      <c r="C60" s="302"/>
      <c r="D60" s="301"/>
    </row>
    <row r="61" spans="1:4" ht="14.25">
      <c r="A61" s="301"/>
      <c r="B61" s="301"/>
      <c r="C61" s="302"/>
      <c r="D61" s="301"/>
    </row>
    <row r="62" spans="1:4" ht="14.25">
      <c r="A62" s="301"/>
      <c r="B62" s="301"/>
      <c r="C62" s="302"/>
      <c r="D62" s="301"/>
    </row>
    <row r="63" spans="1:4" ht="14.25">
      <c r="A63" s="301"/>
      <c r="B63" s="301"/>
      <c r="C63" s="302"/>
      <c r="D63" s="301"/>
    </row>
    <row r="64" spans="1:4" ht="14.25">
      <c r="A64" s="301"/>
      <c r="B64" s="301"/>
      <c r="C64" s="302"/>
      <c r="D64" s="301"/>
    </row>
    <row r="65" spans="1:23" ht="14.25">
      <c r="A65" s="301"/>
      <c r="B65" s="301"/>
      <c r="C65" s="302"/>
      <c r="D65" s="301"/>
    </row>
    <row r="66" spans="1:23" ht="14.25">
      <c r="A66" s="301"/>
      <c r="B66" s="301"/>
      <c r="C66" s="302"/>
      <c r="D66" s="301"/>
    </row>
    <row r="67" spans="1:23" ht="15" thickBot="1">
      <c r="A67" s="301"/>
      <c r="B67" s="301"/>
      <c r="C67" s="302"/>
      <c r="D67" s="301"/>
      <c r="F67" s="261" t="s">
        <v>735</v>
      </c>
    </row>
    <row r="68" spans="1:23" ht="15">
      <c r="A68" s="301"/>
      <c r="B68" s="301"/>
      <c r="C68" s="302"/>
      <c r="D68" s="301"/>
      <c r="F68" s="1112" t="s">
        <v>736</v>
      </c>
      <c r="G68" s="1113" t="s">
        <v>826</v>
      </c>
      <c r="H68" s="1103" t="s">
        <v>737</v>
      </c>
      <c r="I68" s="1104"/>
      <c r="J68" s="1104"/>
      <c r="K68" s="1104"/>
      <c r="L68" s="1104"/>
      <c r="M68" s="1104"/>
      <c r="N68" s="1105"/>
      <c r="O68" s="1112" t="s">
        <v>736</v>
      </c>
      <c r="P68" s="1113" t="s">
        <v>826</v>
      </c>
      <c r="Q68" s="1103" t="s">
        <v>737</v>
      </c>
      <c r="R68" s="1104"/>
      <c r="S68" s="1104"/>
      <c r="T68" s="1104"/>
      <c r="U68" s="1104"/>
      <c r="V68" s="1104"/>
      <c r="W68" s="1105"/>
    </row>
    <row r="69" spans="1:23" ht="15">
      <c r="A69" s="301"/>
      <c r="B69" s="301"/>
      <c r="C69" s="302"/>
      <c r="D69" s="301"/>
      <c r="F69" s="1108"/>
      <c r="G69" s="1114"/>
      <c r="H69" s="305">
        <v>400</v>
      </c>
      <c r="I69" s="306">
        <v>730</v>
      </c>
      <c r="J69" s="306">
        <v>800</v>
      </c>
      <c r="K69" s="306">
        <v>980</v>
      </c>
      <c r="L69" s="306">
        <v>1200</v>
      </c>
      <c r="M69" s="306">
        <v>1460</v>
      </c>
      <c r="N69" s="307">
        <v>2800</v>
      </c>
      <c r="O69" s="1108"/>
      <c r="P69" s="1114"/>
      <c r="Q69" s="306">
        <v>400</v>
      </c>
      <c r="R69" s="306">
        <v>730</v>
      </c>
      <c r="S69" s="306">
        <v>800</v>
      </c>
      <c r="T69" s="306">
        <v>980</v>
      </c>
      <c r="U69" s="306">
        <v>1200</v>
      </c>
      <c r="V69" s="306">
        <v>1460</v>
      </c>
      <c r="W69" s="307">
        <v>2800</v>
      </c>
    </row>
    <row r="70" spans="1:23" ht="14.25">
      <c r="A70" s="301"/>
      <c r="B70" s="301"/>
      <c r="C70" s="302"/>
      <c r="D70" s="301"/>
      <c r="F70" s="1106" t="s">
        <v>738</v>
      </c>
      <c r="G70" s="308">
        <v>50</v>
      </c>
      <c r="H70" s="308">
        <v>0.06</v>
      </c>
      <c r="I70" s="309">
        <v>0.09</v>
      </c>
      <c r="J70" s="309">
        <v>0.1</v>
      </c>
      <c r="K70" s="309">
        <v>0.12</v>
      </c>
      <c r="L70" s="309">
        <v>0.14000000000000001</v>
      </c>
      <c r="M70" s="309">
        <v>0.16</v>
      </c>
      <c r="N70" s="310">
        <v>0.26</v>
      </c>
      <c r="O70" s="1109" t="s">
        <v>743</v>
      </c>
      <c r="P70" s="308">
        <v>63</v>
      </c>
      <c r="Q70" s="309">
        <v>0.35</v>
      </c>
      <c r="R70" s="309">
        <v>0.56000000000000005</v>
      </c>
      <c r="S70" s="309">
        <v>0.6</v>
      </c>
      <c r="T70" s="309">
        <v>0.7</v>
      </c>
      <c r="U70" s="309">
        <v>0.81</v>
      </c>
      <c r="V70" s="309">
        <v>0.93</v>
      </c>
      <c r="W70" s="310">
        <v>1.45</v>
      </c>
    </row>
    <row r="71" spans="1:23" ht="14.25">
      <c r="A71" s="301"/>
      <c r="B71" s="301"/>
      <c r="C71" s="302"/>
      <c r="D71" s="301"/>
      <c r="F71" s="1107"/>
      <c r="G71" s="308">
        <v>63</v>
      </c>
      <c r="H71" s="308">
        <v>0.08</v>
      </c>
      <c r="I71" s="309">
        <v>0.13</v>
      </c>
      <c r="J71" s="309">
        <v>0.13</v>
      </c>
      <c r="K71" s="309">
        <v>0.18</v>
      </c>
      <c r="L71" s="309">
        <v>0.22</v>
      </c>
      <c r="M71" s="309">
        <v>0.25</v>
      </c>
      <c r="N71" s="310">
        <v>0.41</v>
      </c>
      <c r="O71" s="1110"/>
      <c r="P71" s="308">
        <v>71</v>
      </c>
      <c r="Q71" s="309">
        <v>0.44</v>
      </c>
      <c r="R71" s="309">
        <v>0.72</v>
      </c>
      <c r="S71" s="309">
        <v>1.78</v>
      </c>
      <c r="T71" s="309">
        <v>0.92</v>
      </c>
      <c r="U71" s="309">
        <v>1.08</v>
      </c>
      <c r="V71" s="309">
        <v>1.25</v>
      </c>
      <c r="W71" s="310">
        <v>2</v>
      </c>
    </row>
    <row r="72" spans="1:23" ht="14.25">
      <c r="A72" s="301"/>
      <c r="B72" s="301"/>
      <c r="C72" s="302"/>
      <c r="D72" s="301"/>
      <c r="F72" s="1107"/>
      <c r="G72" s="308">
        <v>71</v>
      </c>
      <c r="H72" s="308">
        <v>0.09</v>
      </c>
      <c r="I72" s="309">
        <v>0.17</v>
      </c>
      <c r="J72" s="309">
        <v>0.17</v>
      </c>
      <c r="K72" s="309">
        <v>0.23</v>
      </c>
      <c r="L72" s="309">
        <v>0.27</v>
      </c>
      <c r="M72" s="309">
        <v>0.31</v>
      </c>
      <c r="N72" s="310">
        <v>0.5</v>
      </c>
      <c r="O72" s="1110"/>
      <c r="P72" s="308">
        <v>80</v>
      </c>
      <c r="Q72" s="309">
        <v>0.55000000000000004</v>
      </c>
      <c r="R72" s="309">
        <v>0.88</v>
      </c>
      <c r="S72" s="309">
        <v>1.99</v>
      </c>
      <c r="T72" s="309">
        <v>1.1499999999999999</v>
      </c>
      <c r="U72" s="309">
        <v>1.38</v>
      </c>
      <c r="V72" s="309">
        <v>1.6</v>
      </c>
      <c r="W72" s="310">
        <v>2.61</v>
      </c>
    </row>
    <row r="73" spans="1:23" ht="14.25">
      <c r="A73" s="301"/>
      <c r="B73" s="301"/>
      <c r="C73" s="302"/>
      <c r="D73" s="301"/>
      <c r="F73" s="1108"/>
      <c r="G73" s="308">
        <v>80</v>
      </c>
      <c r="H73" s="308">
        <v>0.14000000000000001</v>
      </c>
      <c r="I73" s="309">
        <v>0.2</v>
      </c>
      <c r="J73" s="309">
        <v>0.2</v>
      </c>
      <c r="K73" s="309">
        <v>0.26</v>
      </c>
      <c r="L73" s="309">
        <v>0.3</v>
      </c>
      <c r="M73" s="309">
        <v>0.36</v>
      </c>
      <c r="N73" s="310">
        <v>0.56000000000000005</v>
      </c>
      <c r="O73" s="1111"/>
      <c r="P73" s="308">
        <v>90</v>
      </c>
      <c r="Q73" s="309">
        <v>0.67</v>
      </c>
      <c r="R73" s="309">
        <v>1.1200000000000001</v>
      </c>
      <c r="S73" s="309">
        <v>1.1200000000000001</v>
      </c>
      <c r="T73" s="309">
        <v>1.44</v>
      </c>
      <c r="U73" s="309">
        <v>1.7</v>
      </c>
      <c r="V73" s="309">
        <v>1.98</v>
      </c>
      <c r="W73" s="310">
        <v>3.26</v>
      </c>
    </row>
    <row r="74" spans="1:23" ht="14.25">
      <c r="A74" s="301"/>
      <c r="B74" s="301"/>
      <c r="C74" s="302"/>
      <c r="D74" s="301"/>
      <c r="F74" s="1106" t="s">
        <v>739</v>
      </c>
      <c r="G74" s="308">
        <v>75</v>
      </c>
      <c r="H74" s="308">
        <v>0.27</v>
      </c>
      <c r="I74" s="309">
        <v>0.42</v>
      </c>
      <c r="J74" s="309">
        <v>0.45</v>
      </c>
      <c r="K74" s="309">
        <v>0.52</v>
      </c>
      <c r="L74" s="309">
        <v>0.6</v>
      </c>
      <c r="M74" s="309">
        <v>0.68</v>
      </c>
      <c r="N74" s="310">
        <v>1</v>
      </c>
      <c r="O74" s="1109" t="s">
        <v>744</v>
      </c>
      <c r="P74" s="308">
        <v>90</v>
      </c>
      <c r="Q74" s="309">
        <v>0.75</v>
      </c>
      <c r="R74" s="309">
        <v>1.21</v>
      </c>
      <c r="S74" s="309">
        <v>1.3</v>
      </c>
      <c r="T74" s="309">
        <v>1.52</v>
      </c>
      <c r="U74" s="309">
        <v>1.76</v>
      </c>
      <c r="V74" s="309">
        <v>2.02</v>
      </c>
      <c r="W74" s="310">
        <v>3</v>
      </c>
    </row>
    <row r="75" spans="1:23" ht="14.25">
      <c r="A75" s="301"/>
      <c r="B75" s="301"/>
      <c r="C75" s="302"/>
      <c r="D75" s="301"/>
      <c r="F75" s="1107"/>
      <c r="G75" s="308">
        <v>90</v>
      </c>
      <c r="H75" s="308">
        <v>0.39</v>
      </c>
      <c r="I75" s="309">
        <v>0.63</v>
      </c>
      <c r="J75" s="309">
        <v>0.68</v>
      </c>
      <c r="K75" s="309">
        <v>0.79</v>
      </c>
      <c r="L75" s="309">
        <v>0.93</v>
      </c>
      <c r="M75" s="309">
        <v>1.07</v>
      </c>
      <c r="N75" s="310">
        <v>1.64</v>
      </c>
      <c r="O75" s="1110"/>
      <c r="P75" s="308">
        <v>100</v>
      </c>
      <c r="Q75" s="309">
        <v>0.94</v>
      </c>
      <c r="R75" s="309">
        <v>0.54</v>
      </c>
      <c r="S75" s="309">
        <v>1.65</v>
      </c>
      <c r="T75" s="309">
        <v>1.93</v>
      </c>
      <c r="U75" s="309">
        <v>2.27</v>
      </c>
      <c r="V75" s="309">
        <v>2.61</v>
      </c>
      <c r="W75" s="310">
        <v>3.99</v>
      </c>
    </row>
    <row r="76" spans="1:23" ht="14.25">
      <c r="A76" s="301"/>
      <c r="B76" s="301"/>
      <c r="C76" s="302"/>
      <c r="D76" s="301"/>
      <c r="F76" s="1107"/>
      <c r="G76" s="308">
        <v>100</v>
      </c>
      <c r="H76" s="308">
        <v>0.47</v>
      </c>
      <c r="I76" s="309">
        <v>0.77</v>
      </c>
      <c r="J76" s="309">
        <v>0.83</v>
      </c>
      <c r="K76" s="309">
        <v>0.97</v>
      </c>
      <c r="L76" s="309">
        <v>1.1399999999999999</v>
      </c>
      <c r="M76" s="309">
        <v>1.32</v>
      </c>
      <c r="N76" s="310">
        <v>2.0499999999999998</v>
      </c>
      <c r="O76" s="1110"/>
      <c r="P76" s="308">
        <v>112</v>
      </c>
      <c r="Q76" s="309">
        <v>1.1599999999999999</v>
      </c>
      <c r="R76" s="309">
        <v>1.91</v>
      </c>
      <c r="S76" s="309">
        <v>2.0699999999999998</v>
      </c>
      <c r="T76" s="309">
        <v>2.44</v>
      </c>
      <c r="U76" s="309">
        <v>2.86</v>
      </c>
      <c r="V76" s="309">
        <v>3.31</v>
      </c>
      <c r="W76" s="310">
        <v>5.15</v>
      </c>
    </row>
    <row r="77" spans="1:23" ht="14.25">
      <c r="A77" s="301"/>
      <c r="B77" s="301"/>
      <c r="C77" s="302"/>
      <c r="D77" s="301"/>
      <c r="F77" s="1107"/>
      <c r="G77" s="308">
        <v>112</v>
      </c>
      <c r="H77" s="308">
        <v>0.56000000000000005</v>
      </c>
      <c r="I77" s="309">
        <v>0.93</v>
      </c>
      <c r="J77" s="309">
        <v>1</v>
      </c>
      <c r="K77" s="309">
        <v>1.18</v>
      </c>
      <c r="L77" s="309">
        <v>1.39</v>
      </c>
      <c r="M77" s="309">
        <v>1.62</v>
      </c>
      <c r="N77" s="310">
        <v>2.5099999999999998</v>
      </c>
      <c r="O77" s="1110"/>
      <c r="P77" s="308">
        <v>125</v>
      </c>
      <c r="Q77" s="309">
        <v>1.4</v>
      </c>
      <c r="R77" s="309">
        <v>2.33</v>
      </c>
      <c r="S77" s="309">
        <v>2.52</v>
      </c>
      <c r="T77" s="309">
        <v>2.98</v>
      </c>
      <c r="U77" s="309">
        <v>3.05</v>
      </c>
      <c r="V77" s="309">
        <v>4.0599999999999996</v>
      </c>
      <c r="W77" s="310">
        <v>6.34</v>
      </c>
    </row>
    <row r="78" spans="1:23" ht="14.25">
      <c r="A78" s="301"/>
      <c r="B78" s="301"/>
      <c r="C78" s="302"/>
      <c r="D78" s="301"/>
      <c r="F78" s="1108"/>
      <c r="G78" s="308">
        <v>125</v>
      </c>
      <c r="H78" s="308">
        <v>0.67</v>
      </c>
      <c r="I78" s="309">
        <v>1.1100000000000001</v>
      </c>
      <c r="J78" s="309">
        <v>1.19</v>
      </c>
      <c r="K78" s="309">
        <v>1.4</v>
      </c>
      <c r="L78" s="309">
        <v>1.66</v>
      </c>
      <c r="M78" s="309">
        <v>1.93</v>
      </c>
      <c r="N78" s="310">
        <v>2.98</v>
      </c>
      <c r="O78" s="1111"/>
      <c r="P78" s="308">
        <v>140</v>
      </c>
      <c r="Q78" s="309">
        <v>1.68</v>
      </c>
      <c r="R78" s="309">
        <v>2.81</v>
      </c>
      <c r="S78" s="309">
        <v>3.03</v>
      </c>
      <c r="T78" s="309">
        <v>3.58</v>
      </c>
      <c r="U78" s="309">
        <v>4.2300000000000004</v>
      </c>
      <c r="V78" s="309">
        <v>4.91</v>
      </c>
      <c r="W78" s="310">
        <v>7.64</v>
      </c>
    </row>
    <row r="79" spans="1:23" ht="14.25">
      <c r="A79" s="301"/>
      <c r="B79" s="301"/>
      <c r="C79" s="302"/>
      <c r="D79" s="301"/>
      <c r="F79" s="1106" t="s">
        <v>740</v>
      </c>
      <c r="G79" s="308">
        <v>125</v>
      </c>
      <c r="H79" s="308">
        <v>0.84</v>
      </c>
      <c r="I79" s="309">
        <v>1.34</v>
      </c>
      <c r="J79" s="309">
        <v>1.44</v>
      </c>
      <c r="K79" s="309">
        <v>1.67</v>
      </c>
      <c r="L79" s="309">
        <v>1.93</v>
      </c>
      <c r="M79" s="309">
        <v>2.2000000000000002</v>
      </c>
      <c r="N79" s="310">
        <v>2.96</v>
      </c>
      <c r="O79" s="1109" t="s">
        <v>745</v>
      </c>
      <c r="P79" s="308">
        <v>140</v>
      </c>
      <c r="Q79" s="309">
        <v>1.92</v>
      </c>
      <c r="R79" s="309">
        <v>3.13</v>
      </c>
      <c r="S79" s="309">
        <v>3.35</v>
      </c>
      <c r="T79" s="309">
        <v>3.92</v>
      </c>
      <c r="U79" s="309">
        <v>4.55</v>
      </c>
      <c r="V79" s="309">
        <v>5.21</v>
      </c>
      <c r="W79" s="310">
        <v>7.15</v>
      </c>
    </row>
    <row r="80" spans="1:23" ht="14.25">
      <c r="A80" s="301"/>
      <c r="B80" s="301"/>
      <c r="C80" s="302"/>
      <c r="D80" s="301"/>
      <c r="F80" s="1107"/>
      <c r="G80" s="308">
        <v>140</v>
      </c>
      <c r="H80" s="308">
        <v>1.05</v>
      </c>
      <c r="I80" s="309">
        <v>1.69</v>
      </c>
      <c r="J80" s="309">
        <v>1.82</v>
      </c>
      <c r="K80" s="309">
        <v>2.13</v>
      </c>
      <c r="L80" s="309">
        <v>2.4700000000000002</v>
      </c>
      <c r="M80" s="309">
        <v>2.83</v>
      </c>
      <c r="N80" s="310">
        <v>3.85</v>
      </c>
      <c r="O80" s="1110"/>
      <c r="P80" s="308">
        <v>160</v>
      </c>
      <c r="Q80" s="309">
        <v>2.4700000000000002</v>
      </c>
      <c r="R80" s="309">
        <v>4.0599999999999996</v>
      </c>
      <c r="S80" s="309">
        <v>4.37</v>
      </c>
      <c r="T80" s="309">
        <v>5.13</v>
      </c>
      <c r="U80" s="309">
        <v>5.98</v>
      </c>
      <c r="V80" s="309">
        <v>6.89</v>
      </c>
      <c r="W80" s="310">
        <v>9.52</v>
      </c>
    </row>
    <row r="81" spans="1:23" ht="14.25">
      <c r="A81" s="301"/>
      <c r="B81" s="301"/>
      <c r="C81" s="302"/>
      <c r="D81" s="301"/>
      <c r="F81" s="1107"/>
      <c r="G81" s="308">
        <v>160</v>
      </c>
      <c r="H81" s="308">
        <v>1.32</v>
      </c>
      <c r="I81" s="309">
        <v>2.16</v>
      </c>
      <c r="J81" s="309">
        <v>2.23</v>
      </c>
      <c r="K81" s="309">
        <v>2.72</v>
      </c>
      <c r="L81" s="309">
        <v>3.17</v>
      </c>
      <c r="M81" s="309">
        <v>3.64</v>
      </c>
      <c r="N81" s="310">
        <v>4.8899999999999997</v>
      </c>
      <c r="O81" s="1110"/>
      <c r="P81" s="308">
        <v>180</v>
      </c>
      <c r="Q81" s="309">
        <v>3.01</v>
      </c>
      <c r="R81" s="309">
        <v>4.99</v>
      </c>
      <c r="S81" s="309">
        <v>5.37</v>
      </c>
      <c r="T81" s="309">
        <v>6.31</v>
      </c>
      <c r="U81" s="309">
        <v>7.38</v>
      </c>
      <c r="V81" s="309">
        <v>8.5</v>
      </c>
      <c r="W81" s="310">
        <v>11.62</v>
      </c>
    </row>
    <row r="82" spans="1:23" ht="14.25">
      <c r="F82" s="1107"/>
      <c r="G82" s="308">
        <v>180</v>
      </c>
      <c r="H82" s="308">
        <v>1.59</v>
      </c>
      <c r="I82" s="309">
        <v>2.61</v>
      </c>
      <c r="J82" s="309">
        <v>2.81</v>
      </c>
      <c r="K82" s="309">
        <v>3.3</v>
      </c>
      <c r="L82" s="309">
        <v>3.85</v>
      </c>
      <c r="M82" s="309">
        <v>4.41</v>
      </c>
      <c r="N82" s="310">
        <v>5.76</v>
      </c>
      <c r="O82" s="1110"/>
      <c r="P82" s="308">
        <v>200</v>
      </c>
      <c r="Q82" s="309">
        <v>3.54</v>
      </c>
      <c r="R82" s="309">
        <v>5.88</v>
      </c>
      <c r="S82" s="309">
        <v>6.35</v>
      </c>
      <c r="T82" s="309">
        <v>7.47</v>
      </c>
      <c r="U82" s="309">
        <v>8.74</v>
      </c>
      <c r="V82" s="309">
        <v>10.07</v>
      </c>
      <c r="W82" s="310">
        <v>13.41</v>
      </c>
    </row>
    <row r="83" spans="1:23" ht="14.25">
      <c r="F83" s="1108"/>
      <c r="G83" s="308">
        <v>200</v>
      </c>
      <c r="H83" s="308">
        <v>1.85</v>
      </c>
      <c r="I83" s="309">
        <v>3.05</v>
      </c>
      <c r="J83" s="309">
        <v>3.3</v>
      </c>
      <c r="K83" s="309">
        <v>3.86</v>
      </c>
      <c r="L83" s="309">
        <v>4.5</v>
      </c>
      <c r="M83" s="309">
        <v>5.15</v>
      </c>
      <c r="N83" s="310">
        <v>6.43</v>
      </c>
      <c r="O83" s="1111"/>
      <c r="P83" s="308">
        <v>224</v>
      </c>
      <c r="Q83" s="309">
        <v>4.18</v>
      </c>
      <c r="R83" s="309">
        <v>6.97</v>
      </c>
      <c r="S83" s="309">
        <v>7.52</v>
      </c>
      <c r="T83" s="309">
        <v>8.83</v>
      </c>
      <c r="U83" s="309">
        <v>10.33</v>
      </c>
      <c r="V83" s="309">
        <v>11.86</v>
      </c>
      <c r="W83" s="310">
        <v>15.14</v>
      </c>
    </row>
    <row r="84" spans="1:23" ht="14.25">
      <c r="F84" s="1106" t="s">
        <v>741</v>
      </c>
      <c r="G84" s="308">
        <v>200</v>
      </c>
      <c r="H84" s="308">
        <v>2.41</v>
      </c>
      <c r="I84" s="309">
        <v>3.8</v>
      </c>
      <c r="J84" s="309">
        <v>4.07</v>
      </c>
      <c r="K84" s="309">
        <v>4.66</v>
      </c>
      <c r="L84" s="309">
        <v>5.29</v>
      </c>
      <c r="M84" s="309">
        <v>5.86</v>
      </c>
      <c r="N84" s="310">
        <v>5.01</v>
      </c>
      <c r="O84" s="1109" t="s">
        <v>746</v>
      </c>
      <c r="P84" s="308">
        <v>224</v>
      </c>
      <c r="Q84" s="309">
        <v>5.19</v>
      </c>
      <c r="R84" s="309">
        <v>8.82</v>
      </c>
      <c r="S84" s="309">
        <v>10.43</v>
      </c>
      <c r="T84" s="309">
        <v>10.39</v>
      </c>
      <c r="U84" s="309">
        <v>11.89</v>
      </c>
      <c r="V84" s="309">
        <v>13.26</v>
      </c>
      <c r="W84" s="310" t="s">
        <v>747</v>
      </c>
    </row>
    <row r="85" spans="1:23" ht="14.25">
      <c r="F85" s="1107"/>
      <c r="G85" s="308">
        <v>224</v>
      </c>
      <c r="H85" s="308">
        <v>2.99</v>
      </c>
      <c r="I85" s="309">
        <v>4.7779999999999996</v>
      </c>
      <c r="J85" s="309">
        <v>5.12</v>
      </c>
      <c r="K85" s="309">
        <v>5.89</v>
      </c>
      <c r="L85" s="309">
        <v>6.71</v>
      </c>
      <c r="M85" s="309">
        <v>7.47</v>
      </c>
      <c r="N85" s="310">
        <v>6.08</v>
      </c>
      <c r="O85" s="1110"/>
      <c r="P85" s="308">
        <v>250</v>
      </c>
      <c r="Q85" s="309">
        <v>6.31</v>
      </c>
      <c r="R85" s="309">
        <v>10.27</v>
      </c>
      <c r="S85" s="309">
        <v>11.02</v>
      </c>
      <c r="T85" s="309">
        <v>12.76</v>
      </c>
      <c r="U85" s="309">
        <v>14.61</v>
      </c>
      <c r="V85" s="309">
        <v>16.260000000000002</v>
      </c>
      <c r="W85" s="310" t="s">
        <v>747</v>
      </c>
    </row>
    <row r="86" spans="1:23" ht="15" thickBot="1">
      <c r="F86" s="1107"/>
      <c r="G86" s="308">
        <v>250</v>
      </c>
      <c r="H86" s="308">
        <v>3.62</v>
      </c>
      <c r="I86" s="309">
        <v>5.82</v>
      </c>
      <c r="J86" s="309">
        <v>6.23</v>
      </c>
      <c r="K86" s="309">
        <v>7.18</v>
      </c>
      <c r="L86" s="309">
        <v>8.1199999999999992</v>
      </c>
      <c r="M86" s="309">
        <v>9.06</v>
      </c>
      <c r="N86" s="310">
        <v>6.56</v>
      </c>
      <c r="O86" s="1110"/>
      <c r="P86" s="308">
        <v>280</v>
      </c>
      <c r="Q86" s="309">
        <v>7.59</v>
      </c>
      <c r="R86" s="309">
        <v>12.4</v>
      </c>
      <c r="S86" s="309">
        <v>13.31</v>
      </c>
      <c r="T86" s="309">
        <v>15.4</v>
      </c>
      <c r="U86" s="309">
        <v>17.600000000000001</v>
      </c>
      <c r="V86" s="309">
        <v>19.489999999999998</v>
      </c>
      <c r="W86" s="310" t="s">
        <v>747</v>
      </c>
    </row>
    <row r="87" spans="1:23" ht="14.25">
      <c r="A87" s="868" t="s">
        <v>825</v>
      </c>
      <c r="B87" s="869"/>
      <c r="C87" s="869"/>
      <c r="D87" s="870"/>
      <c r="F87" s="1107"/>
      <c r="G87" s="308">
        <v>280</v>
      </c>
      <c r="H87" s="308">
        <v>4.32</v>
      </c>
      <c r="I87" s="309">
        <v>6.99</v>
      </c>
      <c r="J87" s="309">
        <v>7.52</v>
      </c>
      <c r="K87" s="309">
        <v>8.65</v>
      </c>
      <c r="L87" s="309">
        <v>9.81</v>
      </c>
      <c r="M87" s="309">
        <v>10.74</v>
      </c>
      <c r="N87" s="310">
        <v>6.13</v>
      </c>
      <c r="O87" s="1110"/>
      <c r="P87" s="308">
        <v>315</v>
      </c>
      <c r="Q87" s="309">
        <v>9.07</v>
      </c>
      <c r="R87" s="309">
        <v>14.82</v>
      </c>
      <c r="S87" s="309">
        <v>15.9</v>
      </c>
      <c r="T87" s="309">
        <v>18.37</v>
      </c>
      <c r="U87" s="309">
        <v>20.88</v>
      </c>
      <c r="V87" s="309">
        <v>22.92</v>
      </c>
      <c r="W87" s="310" t="s">
        <v>747</v>
      </c>
    </row>
    <row r="88" spans="1:23" ht="15" thickBot="1">
      <c r="A88" s="871"/>
      <c r="B88" s="872"/>
      <c r="C88" s="872"/>
      <c r="D88" s="873"/>
      <c r="F88" s="1107"/>
      <c r="G88" s="308">
        <v>315</v>
      </c>
      <c r="H88" s="308">
        <v>5.41</v>
      </c>
      <c r="I88" s="309">
        <v>8.34</v>
      </c>
      <c r="J88" s="309">
        <v>8.92</v>
      </c>
      <c r="K88" s="309">
        <v>10.23</v>
      </c>
      <c r="L88" s="309">
        <v>11.53</v>
      </c>
      <c r="M88" s="309">
        <v>12.48</v>
      </c>
      <c r="N88" s="310">
        <v>4.16</v>
      </c>
      <c r="O88" s="1115"/>
      <c r="P88" s="312">
        <v>400</v>
      </c>
      <c r="Q88" s="313">
        <v>12.56</v>
      </c>
      <c r="R88" s="313">
        <v>20.41</v>
      </c>
      <c r="S88" s="313">
        <v>21.84</v>
      </c>
      <c r="T88" s="313">
        <v>25.15</v>
      </c>
      <c r="U88" s="313">
        <v>27.33</v>
      </c>
      <c r="V88" s="313">
        <v>29.4</v>
      </c>
      <c r="W88" s="314" t="s">
        <v>747</v>
      </c>
    </row>
    <row r="89" spans="1:23" ht="15" thickBot="1">
      <c r="A89" s="871"/>
      <c r="B89" s="872"/>
      <c r="C89" s="872"/>
      <c r="D89" s="873"/>
      <c r="F89" s="1125"/>
      <c r="G89" s="312">
        <v>400</v>
      </c>
      <c r="H89" s="312">
        <v>7.06</v>
      </c>
      <c r="I89" s="313">
        <v>11.52</v>
      </c>
      <c r="J89" s="313">
        <v>12.1</v>
      </c>
      <c r="K89" s="313">
        <v>13.67</v>
      </c>
      <c r="L89" s="313">
        <v>15.04</v>
      </c>
      <c r="M89" s="313">
        <v>15.51</v>
      </c>
      <c r="N89" s="315" t="s">
        <v>742</v>
      </c>
    </row>
    <row r="90" spans="1:23" ht="14.25">
      <c r="A90" s="871"/>
      <c r="B90" s="872"/>
      <c r="C90" s="872"/>
      <c r="D90" s="873"/>
    </row>
    <row r="91" spans="1:23" ht="15" thickBot="1">
      <c r="A91" s="871"/>
      <c r="B91" s="872"/>
      <c r="C91" s="872"/>
      <c r="D91" s="873"/>
      <c r="F91" s="261" t="s">
        <v>818</v>
      </c>
    </row>
    <row r="92" spans="1:23" ht="16.5" thickBot="1">
      <c r="A92" s="871"/>
      <c r="B92" s="872"/>
      <c r="C92" s="872"/>
      <c r="D92" s="873"/>
      <c r="F92" s="1116" t="s">
        <v>736</v>
      </c>
      <c r="G92" s="1118" t="s">
        <v>829</v>
      </c>
      <c r="H92" s="1120" t="s">
        <v>750</v>
      </c>
      <c r="I92" s="1121"/>
      <c r="J92" s="1121"/>
      <c r="K92" s="1121"/>
      <c r="L92" s="1121"/>
      <c r="M92" s="1121"/>
      <c r="N92" s="1121"/>
      <c r="O92" s="1121"/>
      <c r="P92" s="1121"/>
      <c r="Q92" s="1121"/>
    </row>
    <row r="93" spans="1:23" ht="15.75" thickBot="1">
      <c r="A93" s="874"/>
      <c r="B93" s="875"/>
      <c r="C93" s="875"/>
      <c r="D93" s="876"/>
      <c r="F93" s="1117"/>
      <c r="G93" s="1119"/>
      <c r="H93" s="316" t="s">
        <v>805</v>
      </c>
      <c r="I93" s="317" t="s">
        <v>806</v>
      </c>
      <c r="J93" s="317" t="s">
        <v>807</v>
      </c>
      <c r="K93" s="317" t="s">
        <v>808</v>
      </c>
      <c r="L93" s="317" t="s">
        <v>809</v>
      </c>
      <c r="M93" s="317" t="s">
        <v>749</v>
      </c>
      <c r="N93" s="317" t="s">
        <v>810</v>
      </c>
      <c r="O93" s="317" t="s">
        <v>811</v>
      </c>
      <c r="P93" s="317" t="s">
        <v>812</v>
      </c>
      <c r="Q93" s="318" t="s">
        <v>804</v>
      </c>
    </row>
    <row r="94" spans="1:23" ht="15.75">
      <c r="F94" s="1122" t="s">
        <v>729</v>
      </c>
      <c r="G94" s="319">
        <v>400</v>
      </c>
      <c r="H94" s="319">
        <v>0</v>
      </c>
      <c r="I94" s="319">
        <v>0</v>
      </c>
      <c r="J94" s="319">
        <v>0</v>
      </c>
      <c r="K94" s="319">
        <v>0</v>
      </c>
      <c r="L94" s="319">
        <v>0</v>
      </c>
      <c r="M94" s="319">
        <v>0</v>
      </c>
      <c r="N94" s="319">
        <v>0</v>
      </c>
      <c r="O94" s="319">
        <v>0</v>
      </c>
      <c r="P94" s="319">
        <v>0.01</v>
      </c>
      <c r="Q94" s="320">
        <v>0.01</v>
      </c>
    </row>
    <row r="95" spans="1:23" ht="15.75">
      <c r="F95" s="1123"/>
      <c r="G95" s="319">
        <v>730</v>
      </c>
      <c r="H95" s="319">
        <v>0</v>
      </c>
      <c r="I95" s="319">
        <v>0</v>
      </c>
      <c r="J95" s="319">
        <v>0</v>
      </c>
      <c r="K95" s="319">
        <v>0</v>
      </c>
      <c r="L95" s="319">
        <v>0</v>
      </c>
      <c r="M95" s="319">
        <v>0</v>
      </c>
      <c r="N95" s="319">
        <v>0.01</v>
      </c>
      <c r="O95" s="319">
        <v>0.01</v>
      </c>
      <c r="P95" s="319">
        <v>0.01</v>
      </c>
      <c r="Q95" s="320">
        <v>0.02</v>
      </c>
    </row>
    <row r="96" spans="1:23" ht="15.75">
      <c r="F96" s="1123"/>
      <c r="G96" s="319">
        <v>800</v>
      </c>
      <c r="H96" s="319">
        <v>0</v>
      </c>
      <c r="I96" s="319">
        <v>0</v>
      </c>
      <c r="J96" s="319">
        <v>0</v>
      </c>
      <c r="K96" s="319">
        <v>0</v>
      </c>
      <c r="L96" s="319">
        <v>0.01</v>
      </c>
      <c r="M96" s="319">
        <v>0.01</v>
      </c>
      <c r="N96" s="319">
        <v>0.01</v>
      </c>
      <c r="O96" s="319">
        <v>0.01</v>
      </c>
      <c r="P96" s="319">
        <v>0.02</v>
      </c>
      <c r="Q96" s="320">
        <v>0.02</v>
      </c>
    </row>
    <row r="97" spans="6:17" ht="15.75">
      <c r="F97" s="1123"/>
      <c r="G97" s="319">
        <v>980</v>
      </c>
      <c r="H97" s="319">
        <v>0</v>
      </c>
      <c r="I97" s="319">
        <v>0</v>
      </c>
      <c r="J97" s="319">
        <v>0</v>
      </c>
      <c r="K97" s="319">
        <v>0</v>
      </c>
      <c r="L97" s="319">
        <v>0.01</v>
      </c>
      <c r="M97" s="319">
        <v>0.01</v>
      </c>
      <c r="N97" s="319">
        <v>0.01</v>
      </c>
      <c r="O97" s="319">
        <v>0.02</v>
      </c>
      <c r="P97" s="319">
        <v>0.02</v>
      </c>
      <c r="Q97" s="320">
        <v>0.02</v>
      </c>
    </row>
    <row r="98" spans="6:17" ht="15.75">
      <c r="F98" s="1123"/>
      <c r="G98" s="319">
        <v>1200</v>
      </c>
      <c r="H98" s="319">
        <v>0</v>
      </c>
      <c r="I98" s="319">
        <v>0</v>
      </c>
      <c r="J98" s="319">
        <v>0.01</v>
      </c>
      <c r="K98" s="319">
        <v>0.01</v>
      </c>
      <c r="L98" s="319">
        <v>0.01</v>
      </c>
      <c r="M98" s="319">
        <v>0.01</v>
      </c>
      <c r="N98" s="319">
        <v>0.02</v>
      </c>
      <c r="O98" s="319">
        <v>0.02</v>
      </c>
      <c r="P98" s="319">
        <v>0.02</v>
      </c>
      <c r="Q98" s="320">
        <v>0.03</v>
      </c>
    </row>
    <row r="99" spans="6:17" ht="15.75">
      <c r="F99" s="1123"/>
      <c r="G99" s="319">
        <v>1460</v>
      </c>
      <c r="H99" s="319">
        <v>0</v>
      </c>
      <c r="I99" s="319">
        <v>0</v>
      </c>
      <c r="J99" s="319">
        <v>0.01</v>
      </c>
      <c r="K99" s="319">
        <v>0.01</v>
      </c>
      <c r="L99" s="319">
        <v>0.01</v>
      </c>
      <c r="M99" s="319">
        <v>0.02</v>
      </c>
      <c r="N99" s="319">
        <v>0.02</v>
      </c>
      <c r="O99" s="319">
        <v>0.02</v>
      </c>
      <c r="P99" s="319">
        <v>0.02</v>
      </c>
      <c r="Q99" s="320">
        <v>0.03</v>
      </c>
    </row>
    <row r="100" spans="6:17" ht="16.5" thickBot="1">
      <c r="F100" s="1124"/>
      <c r="G100" s="321">
        <v>2800</v>
      </c>
      <c r="H100" s="321">
        <v>0</v>
      </c>
      <c r="I100" s="321">
        <v>0.01</v>
      </c>
      <c r="J100" s="321">
        <v>0.02</v>
      </c>
      <c r="K100" s="321">
        <v>0.02</v>
      </c>
      <c r="L100" s="321">
        <v>0.03</v>
      </c>
      <c r="M100" s="321">
        <v>0.03</v>
      </c>
      <c r="N100" s="321">
        <v>0.03</v>
      </c>
      <c r="O100" s="321">
        <v>0.04</v>
      </c>
      <c r="P100" s="321">
        <v>0.04</v>
      </c>
      <c r="Q100" s="322">
        <v>0.04</v>
      </c>
    </row>
    <row r="101" spans="6:17" ht="15.75">
      <c r="F101" s="1122" t="s">
        <v>734</v>
      </c>
      <c r="G101" s="319">
        <v>400</v>
      </c>
      <c r="H101" s="319">
        <v>0</v>
      </c>
      <c r="I101" s="319">
        <v>0.01</v>
      </c>
      <c r="J101" s="319">
        <v>0.01</v>
      </c>
      <c r="K101" s="319">
        <v>0.02</v>
      </c>
      <c r="L101" s="319">
        <v>0.02</v>
      </c>
      <c r="M101" s="319">
        <v>0.03</v>
      </c>
      <c r="N101" s="319">
        <v>0.03</v>
      </c>
      <c r="O101" s="319">
        <v>0.04</v>
      </c>
      <c r="P101" s="319">
        <v>0.04</v>
      </c>
      <c r="Q101" s="320">
        <v>0.05</v>
      </c>
    </row>
    <row r="102" spans="6:17" ht="15.75">
      <c r="F102" s="1123"/>
      <c r="G102" s="319">
        <v>730</v>
      </c>
      <c r="H102" s="319">
        <v>0</v>
      </c>
      <c r="I102" s="319">
        <v>0.01</v>
      </c>
      <c r="J102" s="319">
        <v>0.02</v>
      </c>
      <c r="K102" s="319">
        <v>0.03</v>
      </c>
      <c r="L102" s="319">
        <v>0.04</v>
      </c>
      <c r="M102" s="319">
        <v>0.05</v>
      </c>
      <c r="N102" s="319">
        <v>0.06</v>
      </c>
      <c r="O102" s="319">
        <v>7.0000000000000007E-2</v>
      </c>
      <c r="P102" s="319">
        <v>0.08</v>
      </c>
      <c r="Q102" s="320">
        <v>0.09</v>
      </c>
    </row>
    <row r="103" spans="6:17" ht="15.75">
      <c r="F103" s="1123"/>
      <c r="G103" s="319">
        <v>800</v>
      </c>
      <c r="H103" s="319">
        <v>0</v>
      </c>
      <c r="I103" s="319">
        <v>0.01</v>
      </c>
      <c r="J103" s="319">
        <v>0.02</v>
      </c>
      <c r="K103" s="319">
        <v>0.03</v>
      </c>
      <c r="L103" s="319">
        <v>0.04</v>
      </c>
      <c r="M103" s="319">
        <v>0.05</v>
      </c>
      <c r="N103" s="319">
        <v>0.06</v>
      </c>
      <c r="O103" s="319">
        <v>0.08</v>
      </c>
      <c r="P103" s="319">
        <v>0.09</v>
      </c>
      <c r="Q103" s="320">
        <v>0.1</v>
      </c>
    </row>
    <row r="104" spans="6:17" ht="15.75">
      <c r="F104" s="1123"/>
      <c r="G104" s="319">
        <v>980</v>
      </c>
      <c r="H104" s="319">
        <v>0</v>
      </c>
      <c r="I104" s="319">
        <v>0.01</v>
      </c>
      <c r="J104" s="319">
        <v>0.03</v>
      </c>
      <c r="K104" s="319">
        <v>0.04</v>
      </c>
      <c r="L104" s="319">
        <v>0.05</v>
      </c>
      <c r="M104" s="319">
        <v>0.06</v>
      </c>
      <c r="N104" s="319">
        <v>7.0000000000000007E-2</v>
      </c>
      <c r="O104" s="319">
        <v>0.08</v>
      </c>
      <c r="P104" s="319">
        <v>0.1</v>
      </c>
      <c r="Q104" s="320">
        <v>0.11</v>
      </c>
    </row>
    <row r="105" spans="6:17" ht="15.75">
      <c r="F105" s="1123"/>
      <c r="G105" s="319">
        <v>1200</v>
      </c>
      <c r="H105" s="319">
        <v>0</v>
      </c>
      <c r="I105" s="319">
        <v>0.02</v>
      </c>
      <c r="J105" s="319">
        <v>0.03</v>
      </c>
      <c r="K105" s="319">
        <v>0.05</v>
      </c>
      <c r="L105" s="319">
        <v>7.0000000000000007E-2</v>
      </c>
      <c r="M105" s="319">
        <v>0.08</v>
      </c>
      <c r="N105" s="319">
        <v>0.1</v>
      </c>
      <c r="O105" s="319">
        <v>0.11</v>
      </c>
      <c r="P105" s="319">
        <v>0.13</v>
      </c>
      <c r="Q105" s="320">
        <v>0.15</v>
      </c>
    </row>
    <row r="106" spans="6:17" ht="15.75">
      <c r="F106" s="1123"/>
      <c r="G106" s="319">
        <v>1460</v>
      </c>
      <c r="H106" s="319">
        <v>0</v>
      </c>
      <c r="I106" s="319">
        <v>0.02</v>
      </c>
      <c r="J106" s="319">
        <v>0.04</v>
      </c>
      <c r="K106" s="319">
        <v>0.06</v>
      </c>
      <c r="L106" s="319">
        <v>0.08</v>
      </c>
      <c r="M106" s="319">
        <v>0.09</v>
      </c>
      <c r="N106" s="319">
        <v>0.11</v>
      </c>
      <c r="O106" s="319">
        <v>0.13</v>
      </c>
      <c r="P106" s="319">
        <v>0.15</v>
      </c>
      <c r="Q106" s="320">
        <v>0.17</v>
      </c>
    </row>
    <row r="107" spans="6:17" ht="16.5" thickBot="1">
      <c r="F107" s="1124"/>
      <c r="G107" s="321">
        <v>2800</v>
      </c>
      <c r="H107" s="321">
        <v>0</v>
      </c>
      <c r="I107" s="321">
        <v>0.04</v>
      </c>
      <c r="J107" s="321">
        <v>0.08</v>
      </c>
      <c r="K107" s="321">
        <v>0.11</v>
      </c>
      <c r="L107" s="321">
        <v>0.15</v>
      </c>
      <c r="M107" s="321">
        <v>0.19</v>
      </c>
      <c r="N107" s="321">
        <v>0.23</v>
      </c>
      <c r="O107" s="321">
        <v>0.26</v>
      </c>
      <c r="P107" s="321">
        <v>0.3</v>
      </c>
      <c r="Q107" s="322">
        <v>0.34</v>
      </c>
    </row>
    <row r="108" spans="6:17" ht="15.75">
      <c r="F108" s="1122" t="s">
        <v>730</v>
      </c>
      <c r="G108" s="319">
        <v>400</v>
      </c>
      <c r="H108" s="319">
        <v>0</v>
      </c>
      <c r="I108" s="319">
        <v>0.01</v>
      </c>
      <c r="J108" s="319">
        <v>0.03</v>
      </c>
      <c r="K108" s="319">
        <v>0.04</v>
      </c>
      <c r="L108" s="319">
        <v>0.06</v>
      </c>
      <c r="M108" s="319">
        <v>7.0000000000000007E-2</v>
      </c>
      <c r="N108" s="319">
        <v>0.08</v>
      </c>
      <c r="O108" s="319">
        <v>0.1</v>
      </c>
      <c r="P108" s="319">
        <v>0.11</v>
      </c>
      <c r="Q108" s="320">
        <v>0.13</v>
      </c>
    </row>
    <row r="109" spans="6:17" ht="15.75">
      <c r="F109" s="1123"/>
      <c r="G109" s="319">
        <v>730</v>
      </c>
      <c r="H109" s="319">
        <v>0</v>
      </c>
      <c r="I109" s="319">
        <v>0.02</v>
      </c>
      <c r="J109" s="319">
        <v>0.05</v>
      </c>
      <c r="K109" s="319">
        <v>7.0000000000000007E-2</v>
      </c>
      <c r="L109" s="319">
        <v>0.1</v>
      </c>
      <c r="M109" s="319">
        <v>0.12</v>
      </c>
      <c r="N109" s="319">
        <v>0.15</v>
      </c>
      <c r="O109" s="319">
        <v>0.17</v>
      </c>
      <c r="P109" s="319">
        <v>0.2</v>
      </c>
      <c r="Q109" s="320">
        <v>0.22</v>
      </c>
    </row>
    <row r="110" spans="6:17" ht="15.75">
      <c r="F110" s="1123"/>
      <c r="G110" s="319">
        <v>800</v>
      </c>
      <c r="H110" s="319">
        <v>0</v>
      </c>
      <c r="I110" s="319">
        <v>0.03</v>
      </c>
      <c r="J110" s="319">
        <v>0.06</v>
      </c>
      <c r="K110" s="319">
        <v>0.08</v>
      </c>
      <c r="L110" s="319">
        <v>0.11</v>
      </c>
      <c r="M110" s="319">
        <v>0.14000000000000001</v>
      </c>
      <c r="N110" s="319">
        <v>0.17</v>
      </c>
      <c r="O110" s="319">
        <v>0.2</v>
      </c>
      <c r="P110" s="319">
        <v>0.23</v>
      </c>
      <c r="Q110" s="320">
        <v>0.25</v>
      </c>
    </row>
    <row r="111" spans="6:17" ht="15.75">
      <c r="F111" s="1123"/>
      <c r="G111" s="319">
        <v>980</v>
      </c>
      <c r="H111" s="319">
        <v>0</v>
      </c>
      <c r="I111" s="319">
        <v>0.03</v>
      </c>
      <c r="J111" s="319">
        <v>7.0000000000000007E-2</v>
      </c>
      <c r="K111" s="319">
        <v>0.1</v>
      </c>
      <c r="L111" s="319">
        <v>0.13</v>
      </c>
      <c r="M111" s="319">
        <v>0.17</v>
      </c>
      <c r="N111" s="319">
        <v>0.2</v>
      </c>
      <c r="O111" s="319">
        <v>0.23</v>
      </c>
      <c r="P111" s="319">
        <v>0.26</v>
      </c>
      <c r="Q111" s="320">
        <v>0.3</v>
      </c>
    </row>
    <row r="112" spans="6:17" ht="15.75">
      <c r="F112" s="1123"/>
      <c r="G112" s="319">
        <v>1200</v>
      </c>
      <c r="H112" s="319">
        <v>0</v>
      </c>
      <c r="I112" s="319">
        <v>0.04</v>
      </c>
      <c r="J112" s="319">
        <v>0.08</v>
      </c>
      <c r="K112" s="319">
        <v>0.13</v>
      </c>
      <c r="L112" s="319">
        <v>0.17</v>
      </c>
      <c r="M112" s="319">
        <v>0.21</v>
      </c>
      <c r="N112" s="319">
        <v>0.25</v>
      </c>
      <c r="O112" s="319">
        <v>0.3</v>
      </c>
      <c r="P112" s="319">
        <v>0.34</v>
      </c>
      <c r="Q112" s="320">
        <v>0.38</v>
      </c>
    </row>
    <row r="113" spans="6:19" ht="15.75">
      <c r="F113" s="1123"/>
      <c r="G113" s="319">
        <v>1460</v>
      </c>
      <c r="H113" s="319">
        <v>0</v>
      </c>
      <c r="I113" s="319">
        <v>0.05</v>
      </c>
      <c r="J113" s="319">
        <v>0.1</v>
      </c>
      <c r="K113" s="319">
        <v>0.15</v>
      </c>
      <c r="L113" s="319">
        <v>0.2</v>
      </c>
      <c r="M113" s="319">
        <v>0.25</v>
      </c>
      <c r="N113" s="319">
        <v>0.31</v>
      </c>
      <c r="O113" s="319">
        <v>0.36</v>
      </c>
      <c r="P113" s="319">
        <v>0.4</v>
      </c>
      <c r="Q113" s="320">
        <v>0.46</v>
      </c>
    </row>
    <row r="114" spans="6:19" ht="16.5" thickBot="1">
      <c r="F114" s="1124"/>
      <c r="G114" s="321">
        <v>2800</v>
      </c>
      <c r="H114" s="321">
        <v>0</v>
      </c>
      <c r="I114" s="321">
        <v>0.1</v>
      </c>
      <c r="J114" s="321">
        <v>0.2</v>
      </c>
      <c r="K114" s="321">
        <v>0.28999999999999998</v>
      </c>
      <c r="L114" s="321">
        <v>0.39</v>
      </c>
      <c r="M114" s="321">
        <v>0.49</v>
      </c>
      <c r="N114" s="321">
        <v>0.59</v>
      </c>
      <c r="O114" s="321">
        <v>0.69</v>
      </c>
      <c r="P114" s="321">
        <v>0.79</v>
      </c>
      <c r="Q114" s="322">
        <v>0.89</v>
      </c>
    </row>
    <row r="115" spans="6:19" ht="15.75">
      <c r="F115" s="1122" t="s">
        <v>748</v>
      </c>
      <c r="G115" s="319">
        <v>400</v>
      </c>
      <c r="H115" s="319">
        <v>0</v>
      </c>
      <c r="I115" s="319">
        <v>0.04</v>
      </c>
      <c r="J115" s="319">
        <v>0.08</v>
      </c>
      <c r="K115" s="319">
        <v>0.12</v>
      </c>
      <c r="L115" s="319">
        <v>0.16</v>
      </c>
      <c r="M115" s="319">
        <v>0.2</v>
      </c>
      <c r="N115" s="319">
        <v>0.23</v>
      </c>
      <c r="O115" s="319">
        <v>0.27</v>
      </c>
      <c r="P115" s="319">
        <v>0.31</v>
      </c>
      <c r="Q115" s="320">
        <v>0.35</v>
      </c>
    </row>
    <row r="116" spans="6:19" ht="15.75">
      <c r="F116" s="1123"/>
      <c r="G116" s="319">
        <v>730</v>
      </c>
      <c r="H116" s="319">
        <v>0</v>
      </c>
      <c r="I116" s="319">
        <v>7.0000000000000007E-2</v>
      </c>
      <c r="J116" s="319">
        <v>0.14000000000000001</v>
      </c>
      <c r="K116" s="319">
        <v>0.21</v>
      </c>
      <c r="L116" s="319">
        <v>0.27</v>
      </c>
      <c r="M116" s="319">
        <v>0.34</v>
      </c>
      <c r="N116" s="319">
        <v>0.41</v>
      </c>
      <c r="O116" s="319">
        <v>0.48</v>
      </c>
      <c r="P116" s="319">
        <v>0.55000000000000004</v>
      </c>
      <c r="Q116" s="320">
        <v>0.62</v>
      </c>
    </row>
    <row r="117" spans="6:19" ht="15.75">
      <c r="F117" s="1123"/>
      <c r="G117" s="319">
        <v>800</v>
      </c>
      <c r="H117" s="319">
        <v>0</v>
      </c>
      <c r="I117" s="319">
        <v>0.08</v>
      </c>
      <c r="J117" s="319">
        <v>0.16</v>
      </c>
      <c r="K117" s="319">
        <v>0.23</v>
      </c>
      <c r="L117" s="319">
        <v>0.31</v>
      </c>
      <c r="M117" s="319">
        <v>0.39</v>
      </c>
      <c r="N117" s="319">
        <v>0.47</v>
      </c>
      <c r="O117" s="319">
        <v>0.55000000000000004</v>
      </c>
      <c r="P117" s="319">
        <v>0.63</v>
      </c>
      <c r="Q117" s="320">
        <v>0.71</v>
      </c>
    </row>
    <row r="118" spans="6:19" ht="15.75">
      <c r="F118" s="1123"/>
      <c r="G118" s="319">
        <v>980</v>
      </c>
      <c r="H118" s="319">
        <v>0</v>
      </c>
      <c r="I118" s="319">
        <v>0.09</v>
      </c>
      <c r="J118" s="319">
        <v>0.19</v>
      </c>
      <c r="K118" s="319">
        <v>0.27</v>
      </c>
      <c r="L118" s="319">
        <v>0.37</v>
      </c>
      <c r="M118" s="319">
        <v>0.47</v>
      </c>
      <c r="N118" s="319">
        <v>0.56000000000000005</v>
      </c>
      <c r="O118" s="319">
        <v>0.65</v>
      </c>
      <c r="P118" s="319">
        <v>0.74</v>
      </c>
      <c r="Q118" s="320">
        <v>0.83</v>
      </c>
    </row>
    <row r="119" spans="6:19" ht="15.75">
      <c r="F119" s="1123"/>
      <c r="G119" s="319">
        <v>1200</v>
      </c>
      <c r="H119" s="319">
        <v>0</v>
      </c>
      <c r="I119" s="319">
        <v>0.12</v>
      </c>
      <c r="J119" s="319">
        <v>0.24</v>
      </c>
      <c r="K119" s="319">
        <v>0.35</v>
      </c>
      <c r="L119" s="319">
        <v>0.47</v>
      </c>
      <c r="M119" s="319">
        <v>0.59</v>
      </c>
      <c r="N119" s="319">
        <v>0.7</v>
      </c>
      <c r="O119" s="319">
        <v>0.82</v>
      </c>
      <c r="P119" s="319">
        <v>0.94</v>
      </c>
      <c r="Q119" s="320">
        <v>1.06</v>
      </c>
    </row>
    <row r="120" spans="6:19" ht="15.75">
      <c r="F120" s="1123"/>
      <c r="G120" s="319">
        <v>1460</v>
      </c>
      <c r="H120" s="319">
        <v>0</v>
      </c>
      <c r="I120" s="319">
        <v>0.14000000000000001</v>
      </c>
      <c r="J120" s="319">
        <v>0.28000000000000003</v>
      </c>
      <c r="K120" s="319">
        <v>0.42</v>
      </c>
      <c r="L120" s="319">
        <v>0.57999999999999996</v>
      </c>
      <c r="M120" s="319">
        <v>0.71</v>
      </c>
      <c r="N120" s="319">
        <v>0.85</v>
      </c>
      <c r="O120" s="319">
        <v>0.99</v>
      </c>
      <c r="P120" s="319">
        <v>1.1399999999999999</v>
      </c>
      <c r="Q120" s="320">
        <v>1.27</v>
      </c>
    </row>
    <row r="121" spans="6:19" ht="16.5" thickBot="1">
      <c r="F121" s="1124"/>
      <c r="G121" s="321">
        <v>2800</v>
      </c>
      <c r="H121" s="321">
        <v>0</v>
      </c>
      <c r="I121" s="321">
        <v>0.27</v>
      </c>
      <c r="J121" s="321">
        <v>0.55000000000000004</v>
      </c>
      <c r="K121" s="321">
        <v>0.82</v>
      </c>
      <c r="L121" s="321">
        <v>1.1000000000000001</v>
      </c>
      <c r="M121" s="321">
        <v>1.37</v>
      </c>
      <c r="N121" s="321">
        <v>1.64</v>
      </c>
      <c r="O121" s="321">
        <v>1.92</v>
      </c>
      <c r="P121" s="321">
        <v>2.19</v>
      </c>
      <c r="Q121" s="322">
        <v>2.4700000000000002</v>
      </c>
    </row>
    <row r="123" spans="6:19" ht="14.25">
      <c r="F123" s="261" t="s">
        <v>819</v>
      </c>
    </row>
    <row r="124" spans="6:19" ht="16.5" thickBot="1">
      <c r="F124" s="323" t="s">
        <v>827</v>
      </c>
      <c r="G124" s="324">
        <v>180</v>
      </c>
      <c r="H124" s="324">
        <v>175</v>
      </c>
      <c r="I124" s="324">
        <v>170</v>
      </c>
      <c r="J124" s="324">
        <v>165</v>
      </c>
      <c r="K124" s="324">
        <v>160</v>
      </c>
      <c r="L124" s="324">
        <v>155</v>
      </c>
      <c r="M124" s="324">
        <v>150</v>
      </c>
      <c r="N124" s="324">
        <v>145</v>
      </c>
      <c r="O124" s="324">
        <v>140</v>
      </c>
      <c r="P124" s="324">
        <v>135</v>
      </c>
      <c r="Q124" s="324">
        <v>130</v>
      </c>
      <c r="R124" s="324">
        <v>125</v>
      </c>
      <c r="S124" s="324">
        <v>120</v>
      </c>
    </row>
    <row r="125" spans="6:19" ht="16.5" thickBot="1">
      <c r="F125" s="325" t="s">
        <v>751</v>
      </c>
      <c r="G125" s="324">
        <v>1</v>
      </c>
      <c r="H125" s="324">
        <v>0.99</v>
      </c>
      <c r="I125" s="324">
        <v>0.98</v>
      </c>
      <c r="J125" s="324">
        <v>0.96</v>
      </c>
      <c r="K125" s="324">
        <v>0.95</v>
      </c>
      <c r="L125" s="324">
        <v>0.93</v>
      </c>
      <c r="M125" s="324">
        <v>0.92</v>
      </c>
      <c r="N125" s="324">
        <v>0.91</v>
      </c>
      <c r="O125" s="324">
        <v>0.89</v>
      </c>
      <c r="P125" s="324">
        <v>0.88</v>
      </c>
      <c r="Q125" s="324">
        <v>0.86</v>
      </c>
      <c r="R125" s="324">
        <v>0.84</v>
      </c>
      <c r="S125" s="324">
        <v>0.82</v>
      </c>
    </row>
  </sheetData>
  <sheetProtection password="828E" sheet="1" objects="1" scenarios="1"/>
  <mergeCells count="68">
    <mergeCell ref="F94:F100"/>
    <mergeCell ref="F101:F107"/>
    <mergeCell ref="F108:F114"/>
    <mergeCell ref="F115:F121"/>
    <mergeCell ref="F84:F89"/>
    <mergeCell ref="F79:F83"/>
    <mergeCell ref="O79:O83"/>
    <mergeCell ref="O84:O88"/>
    <mergeCell ref="A87:D93"/>
    <mergeCell ref="F92:F93"/>
    <mergeCell ref="G92:G93"/>
    <mergeCell ref="H92:Q92"/>
    <mergeCell ref="Q68:W68"/>
    <mergeCell ref="F70:F73"/>
    <mergeCell ref="O70:O73"/>
    <mergeCell ref="F74:F78"/>
    <mergeCell ref="O74:O78"/>
    <mergeCell ref="F68:F69"/>
    <mergeCell ref="G68:G69"/>
    <mergeCell ref="H68:N68"/>
    <mergeCell ref="O68:O69"/>
    <mergeCell ref="P68:P69"/>
    <mergeCell ref="A34:D41"/>
    <mergeCell ref="L10:L11"/>
    <mergeCell ref="F12:F13"/>
    <mergeCell ref="G12:G13"/>
    <mergeCell ref="H12:H13"/>
    <mergeCell ref="I12:I13"/>
    <mergeCell ref="J12:J13"/>
    <mergeCell ref="K12:K13"/>
    <mergeCell ref="L12:L13"/>
    <mergeCell ref="A14:A18"/>
    <mergeCell ref="A19:A20"/>
    <mergeCell ref="A21:A26"/>
    <mergeCell ref="A28:A31"/>
    <mergeCell ref="D29:D31"/>
    <mergeCell ref="F39:F41"/>
    <mergeCell ref="G39:R41"/>
    <mergeCell ref="J8:J9"/>
    <mergeCell ref="K8:K9"/>
    <mergeCell ref="L8:L9"/>
    <mergeCell ref="A10:A13"/>
    <mergeCell ref="F10:F11"/>
    <mergeCell ref="G10:G11"/>
    <mergeCell ref="H10:H11"/>
    <mergeCell ref="I10:I11"/>
    <mergeCell ref="J10:J11"/>
    <mergeCell ref="K10:K11"/>
    <mergeCell ref="A7:A8"/>
    <mergeCell ref="F8:F9"/>
    <mergeCell ref="G8:G9"/>
    <mergeCell ref="H8:H9"/>
    <mergeCell ref="I8:I9"/>
    <mergeCell ref="A1:D1"/>
    <mergeCell ref="F3:F5"/>
    <mergeCell ref="G3:L3"/>
    <mergeCell ref="M3:R3"/>
    <mergeCell ref="A4:A6"/>
    <mergeCell ref="G4:I4"/>
    <mergeCell ref="J4:L4"/>
    <mergeCell ref="M4:R4"/>
    <mergeCell ref="F6:F7"/>
    <mergeCell ref="G6:G7"/>
    <mergeCell ref="H6:H7"/>
    <mergeCell ref="I6:I7"/>
    <mergeCell ref="J6:J7"/>
    <mergeCell ref="K6:K7"/>
    <mergeCell ref="L6:L7"/>
  </mergeCells>
  <phoneticPr fontId="4" type="noConversion"/>
  <dataValidations count="1">
    <dataValidation type="list" allowBlank="1" showInputMessage="1" showErrorMessage="1" prompt="请选择" sqref="C9">
      <formula1>$AK$2:$AK$11</formula1>
    </dataValidation>
  </dataValidations>
  <pageMargins left="0.7" right="0.7" top="0.75" bottom="0.75" header="0.3" footer="0.3"/>
  <drawing r:id="rId1"/>
  <legacyDrawing r:id="rId2"/>
  <oleObjects>
    <oleObject progId="PBrush" shapeId="7169" r:id="rId3"/>
  </oleObjects>
</worksheet>
</file>

<file path=xl/worksheets/sheet10.xml><?xml version="1.0" encoding="utf-8"?>
<worksheet xmlns="http://schemas.openxmlformats.org/spreadsheetml/2006/main" xmlns:r="http://schemas.openxmlformats.org/officeDocument/2006/relationships">
  <sheetPr codeName="Sheet6"/>
  <dimension ref="A1:AN163"/>
  <sheetViews>
    <sheetView workbookViewId="0">
      <selection activeCell="E8" sqref="E8"/>
    </sheetView>
  </sheetViews>
  <sheetFormatPr defaultColWidth="15.625" defaultRowHeight="17.100000000000001" customHeight="1"/>
  <cols>
    <col min="2" max="2" width="20.5" customWidth="1"/>
    <col min="3" max="3" width="15.625" style="119"/>
    <col min="4" max="4" width="17.625" customWidth="1"/>
    <col min="5" max="5" width="5.625" customWidth="1"/>
    <col min="6" max="23" width="8.625" customWidth="1"/>
  </cols>
  <sheetData>
    <row r="1" spans="1:40" ht="21.95" customHeight="1">
      <c r="A1" s="1136" t="s">
        <v>858</v>
      </c>
      <c r="B1" s="1137"/>
      <c r="C1" s="1137"/>
      <c r="D1" s="1137"/>
      <c r="G1">
        <f>C11/8*(2*C22-C12-C14)</f>
        <v>44.053125000000001</v>
      </c>
      <c r="H1">
        <f>G1+(G1^2-(C11*(C14-C12)/PI())^2/8)^0.5</f>
        <v>83.115504878542666</v>
      </c>
    </row>
    <row r="2" spans="1:40" ht="17.100000000000001" customHeight="1" thickBot="1">
      <c r="A2" s="122" t="s">
        <v>921</v>
      </c>
      <c r="B2" s="122"/>
      <c r="C2" s="123"/>
      <c r="D2" s="122"/>
      <c r="F2" s="118" t="s">
        <v>859</v>
      </c>
      <c r="AA2" s="145" t="s">
        <v>882</v>
      </c>
      <c r="AK2" s="136"/>
    </row>
    <row r="3" spans="1:40" ht="17.100000000000001" customHeight="1">
      <c r="A3" s="126" t="s">
        <v>753</v>
      </c>
      <c r="B3" s="126" t="s">
        <v>754</v>
      </c>
      <c r="C3" s="127" t="s">
        <v>755</v>
      </c>
      <c r="D3" s="126" t="s">
        <v>762</v>
      </c>
      <c r="F3" s="1139" t="s">
        <v>801</v>
      </c>
      <c r="G3" s="1139"/>
      <c r="H3" s="1139"/>
      <c r="I3" s="1139"/>
      <c r="J3" s="1130" t="s">
        <v>707</v>
      </c>
      <c r="K3" s="1138"/>
      <c r="L3" s="1138"/>
      <c r="M3" s="1138"/>
      <c r="N3" s="1138"/>
      <c r="O3" s="1138"/>
      <c r="P3" s="1126" t="s">
        <v>869</v>
      </c>
      <c r="Q3" s="1126"/>
      <c r="R3" s="1126"/>
      <c r="S3" s="1126"/>
      <c r="T3" s="1126"/>
      <c r="U3" s="1127"/>
      <c r="Y3" s="132"/>
      <c r="Z3" s="132"/>
      <c r="AA3" s="145" t="s">
        <v>892</v>
      </c>
      <c r="AB3" s="132"/>
      <c r="AC3" s="132"/>
      <c r="AD3" s="132"/>
      <c r="AE3" s="132"/>
      <c r="AF3" s="132"/>
      <c r="AG3" s="132"/>
      <c r="AH3" s="132"/>
      <c r="AI3" s="132"/>
      <c r="AJ3" s="132"/>
      <c r="AK3" s="132"/>
      <c r="AN3" s="136"/>
    </row>
    <row r="4" spans="1:40" ht="17.100000000000001" customHeight="1">
      <c r="A4" s="1162" t="s">
        <v>756</v>
      </c>
      <c r="B4" s="126" t="s">
        <v>763</v>
      </c>
      <c r="C4" s="326">
        <v>0.1</v>
      </c>
      <c r="D4" s="126"/>
      <c r="F4" s="1139"/>
      <c r="G4" s="1139"/>
      <c r="H4" s="1139"/>
      <c r="I4" s="1139"/>
      <c r="J4" s="1128" t="s">
        <v>802</v>
      </c>
      <c r="K4" s="1128"/>
      <c r="L4" s="1128"/>
      <c r="M4" s="1129" t="s">
        <v>803</v>
      </c>
      <c r="N4" s="1130"/>
      <c r="O4" s="1130"/>
      <c r="P4" s="1131" t="s">
        <v>870</v>
      </c>
      <c r="Q4" s="1131"/>
      <c r="R4" s="1131"/>
      <c r="S4" s="1131"/>
      <c r="T4" s="1131"/>
      <c r="U4" s="1132"/>
      <c r="Y4" s="133"/>
      <c r="Z4" s="133"/>
      <c r="AA4" s="145" t="s">
        <v>883</v>
      </c>
      <c r="AB4" s="133"/>
      <c r="AC4" s="133"/>
      <c r="AD4" s="133"/>
      <c r="AE4" s="133"/>
      <c r="AF4" s="133"/>
      <c r="AG4" s="133"/>
      <c r="AH4" s="133"/>
      <c r="AI4" s="133"/>
      <c r="AJ4" s="133"/>
      <c r="AK4" s="133"/>
      <c r="AN4" s="136"/>
    </row>
    <row r="5" spans="1:40" ht="17.100000000000001" customHeight="1">
      <c r="A5" s="1162"/>
      <c r="B5" s="126" t="s">
        <v>764</v>
      </c>
      <c r="C5" s="326">
        <v>1000</v>
      </c>
      <c r="D5" s="126"/>
      <c r="F5" s="1139"/>
      <c r="G5" s="1139"/>
      <c r="H5" s="1139"/>
      <c r="I5" s="1139"/>
      <c r="J5" s="146" t="s">
        <v>898</v>
      </c>
      <c r="K5" s="128" t="s">
        <v>899</v>
      </c>
      <c r="L5" s="128" t="s">
        <v>900</v>
      </c>
      <c r="M5" s="128" t="s">
        <v>898</v>
      </c>
      <c r="N5" s="128" t="s">
        <v>899</v>
      </c>
      <c r="O5" s="128" t="s">
        <v>900</v>
      </c>
      <c r="P5" s="140" t="s">
        <v>716</v>
      </c>
      <c r="Q5" s="137" t="s">
        <v>813</v>
      </c>
      <c r="R5" s="137" t="s">
        <v>717</v>
      </c>
      <c r="S5" s="137" t="s">
        <v>718</v>
      </c>
      <c r="T5" s="137" t="s">
        <v>814</v>
      </c>
      <c r="U5" s="121"/>
      <c r="Y5" s="134"/>
      <c r="Z5" s="134"/>
      <c r="AA5" s="145" t="s">
        <v>885</v>
      </c>
      <c r="AB5" s="134"/>
      <c r="AC5" s="134"/>
      <c r="AD5" s="134"/>
      <c r="AE5" s="134"/>
      <c r="AF5" s="134"/>
      <c r="AG5" s="134"/>
      <c r="AH5" s="134"/>
      <c r="AI5" s="134"/>
      <c r="AJ5" s="134"/>
      <c r="AK5" s="134"/>
      <c r="AN5" s="136"/>
    </row>
    <row r="6" spans="1:40" ht="17.100000000000001" customHeight="1" thickBot="1">
      <c r="A6" s="1162"/>
      <c r="B6" s="126" t="s">
        <v>922</v>
      </c>
      <c r="C6" s="326">
        <v>80</v>
      </c>
      <c r="D6" s="126"/>
      <c r="F6" s="1140" t="s">
        <v>860</v>
      </c>
      <c r="G6" s="1140"/>
      <c r="H6" s="1140"/>
      <c r="I6" s="1140"/>
      <c r="J6" s="1133">
        <v>1</v>
      </c>
      <c r="K6" s="1133">
        <v>1.2</v>
      </c>
      <c r="L6" s="1133">
        <v>1.4</v>
      </c>
      <c r="M6" s="1133">
        <v>1.2</v>
      </c>
      <c r="N6" s="1133">
        <v>1.4</v>
      </c>
      <c r="O6" s="1133">
        <v>1.6</v>
      </c>
      <c r="P6" s="141" t="s">
        <v>719</v>
      </c>
      <c r="Q6" s="149">
        <v>0.1</v>
      </c>
      <c r="R6" s="149">
        <v>0.2</v>
      </c>
      <c r="S6" s="149">
        <v>0.3</v>
      </c>
      <c r="T6" s="149">
        <v>0.4</v>
      </c>
      <c r="U6" s="138"/>
      <c r="V6" s="135"/>
      <c r="W6" s="135"/>
      <c r="X6" s="135"/>
      <c r="Y6" s="135"/>
      <c r="Z6" s="135"/>
      <c r="AA6" s="145" t="s">
        <v>886</v>
      </c>
      <c r="AB6" s="135"/>
      <c r="AC6" s="135"/>
      <c r="AD6" s="135"/>
      <c r="AE6" s="135"/>
      <c r="AF6" s="135"/>
      <c r="AG6" s="135"/>
      <c r="AH6" s="135"/>
      <c r="AI6" s="135"/>
      <c r="AJ6" s="135"/>
      <c r="AK6" s="135"/>
      <c r="AN6" s="136"/>
    </row>
    <row r="7" spans="1:40" ht="17.100000000000001" customHeight="1">
      <c r="A7" s="1162"/>
      <c r="B7" s="126" t="s">
        <v>765</v>
      </c>
      <c r="C7" s="326">
        <v>2.6</v>
      </c>
      <c r="D7" s="126"/>
      <c r="F7" s="1140"/>
      <c r="G7" s="1140"/>
      <c r="H7" s="1140"/>
      <c r="I7" s="1140"/>
      <c r="J7" s="1133"/>
      <c r="K7" s="1133"/>
      <c r="L7" s="1133"/>
      <c r="M7" s="1133"/>
      <c r="N7" s="1133"/>
      <c r="O7" s="1133"/>
      <c r="P7" s="135"/>
      <c r="Q7" s="135"/>
      <c r="R7" s="135"/>
      <c r="S7" s="135"/>
      <c r="T7" s="135"/>
      <c r="U7" s="135"/>
      <c r="V7" s="135"/>
      <c r="W7" s="135"/>
      <c r="X7" s="135"/>
      <c r="Y7" s="135"/>
      <c r="Z7" s="135"/>
      <c r="AA7" s="145" t="s">
        <v>887</v>
      </c>
      <c r="AB7" s="135"/>
      <c r="AC7" s="135"/>
      <c r="AD7" s="135"/>
      <c r="AE7" s="135"/>
      <c r="AF7" s="135"/>
      <c r="AG7" s="135"/>
      <c r="AH7" s="135"/>
      <c r="AI7" s="135"/>
      <c r="AJ7" s="135"/>
      <c r="AK7" s="135"/>
      <c r="AN7" s="136"/>
    </row>
    <row r="8" spans="1:40" ht="17.100000000000001" customHeight="1">
      <c r="A8" s="1134" t="s">
        <v>766</v>
      </c>
      <c r="B8" s="126" t="s">
        <v>767</v>
      </c>
      <c r="C8" s="326">
        <v>1.2</v>
      </c>
      <c r="D8" s="139" t="s">
        <v>823</v>
      </c>
      <c r="F8" s="1140" t="s">
        <v>861</v>
      </c>
      <c r="G8" s="1140"/>
      <c r="H8" s="1140"/>
      <c r="I8" s="1140"/>
      <c r="J8" s="1135">
        <v>1.2</v>
      </c>
      <c r="K8" s="1135">
        <v>1.4</v>
      </c>
      <c r="L8" s="1135">
        <v>1.6</v>
      </c>
      <c r="M8" s="1135">
        <v>1.4</v>
      </c>
      <c r="N8" s="1135">
        <v>1.6</v>
      </c>
      <c r="O8" s="1135">
        <v>1.8</v>
      </c>
      <c r="P8" s="135"/>
      <c r="Q8" s="135"/>
      <c r="R8" s="135"/>
      <c r="S8" s="135"/>
      <c r="T8" s="135"/>
      <c r="U8" s="135"/>
      <c r="V8" s="135"/>
      <c r="W8" s="135"/>
      <c r="X8" s="135"/>
      <c r="Y8" s="135"/>
      <c r="Z8" s="135"/>
      <c r="AA8" s="145" t="s">
        <v>889</v>
      </c>
      <c r="AB8" s="135"/>
      <c r="AC8" s="135"/>
      <c r="AD8" s="135"/>
      <c r="AE8" s="135"/>
      <c r="AF8" s="135"/>
      <c r="AG8" s="135"/>
      <c r="AH8" s="135"/>
      <c r="AI8" s="135"/>
      <c r="AJ8" s="135"/>
      <c r="AK8" s="135"/>
      <c r="AN8" s="136"/>
    </row>
    <row r="9" spans="1:40" ht="17.100000000000001" customHeight="1">
      <c r="A9" s="1134"/>
      <c r="B9" s="126" t="s">
        <v>768</v>
      </c>
      <c r="C9" s="127">
        <f>C4*C8</f>
        <v>0.12</v>
      </c>
      <c r="D9" s="126"/>
      <c r="F9" s="1140"/>
      <c r="G9" s="1140"/>
      <c r="H9" s="1140"/>
      <c r="I9" s="1140"/>
      <c r="J9" s="1135"/>
      <c r="K9" s="1135"/>
      <c r="L9" s="1135"/>
      <c r="M9" s="1135"/>
      <c r="N9" s="1135"/>
      <c r="O9" s="1135"/>
      <c r="P9" s="135"/>
      <c r="Q9" s="135"/>
      <c r="R9" s="135"/>
      <c r="S9" s="135"/>
      <c r="T9" s="135"/>
      <c r="U9" s="135"/>
      <c r="V9" s="135"/>
      <c r="W9" s="135"/>
      <c r="X9" s="135"/>
      <c r="Y9" s="135"/>
      <c r="Z9" s="135"/>
      <c r="AB9" s="135"/>
      <c r="AC9" s="135"/>
      <c r="AD9" s="135"/>
      <c r="AE9" s="135"/>
      <c r="AF9" s="135"/>
      <c r="AG9" s="135"/>
      <c r="AH9" s="135"/>
      <c r="AI9" s="135"/>
      <c r="AJ9" s="135"/>
      <c r="AK9" s="135"/>
      <c r="AN9" s="136"/>
    </row>
    <row r="10" spans="1:40" ht="17.100000000000001" customHeight="1">
      <c r="A10" s="1134" t="s">
        <v>890</v>
      </c>
      <c r="B10" s="126" t="s">
        <v>757</v>
      </c>
      <c r="C10" s="327" t="s">
        <v>884</v>
      </c>
      <c r="D10" s="139" t="s">
        <v>824</v>
      </c>
      <c r="F10" s="1156" t="s">
        <v>862</v>
      </c>
      <c r="G10" s="1156"/>
      <c r="H10" s="1156"/>
      <c r="I10" s="1156"/>
      <c r="J10" s="1133">
        <v>1.3</v>
      </c>
      <c r="K10" s="1133">
        <v>1.5</v>
      </c>
      <c r="L10" s="1133">
        <v>1.7</v>
      </c>
      <c r="M10" s="1133">
        <v>1.5</v>
      </c>
      <c r="N10" s="1133">
        <v>1.7</v>
      </c>
      <c r="O10" s="1133">
        <v>1.9</v>
      </c>
      <c r="P10" s="135"/>
      <c r="Q10" s="135"/>
      <c r="R10" s="135"/>
      <c r="S10" s="135"/>
      <c r="T10" s="135"/>
      <c r="U10" s="135"/>
      <c r="V10" s="135"/>
      <c r="W10" s="135"/>
      <c r="X10" s="135"/>
      <c r="Y10" s="135"/>
      <c r="Z10" s="135"/>
      <c r="AB10" s="135"/>
      <c r="AC10" s="135"/>
      <c r="AD10" s="135"/>
      <c r="AE10" s="135"/>
      <c r="AF10" s="135"/>
      <c r="AG10" s="135"/>
      <c r="AH10" s="135"/>
      <c r="AI10" s="135"/>
      <c r="AJ10" s="135"/>
      <c r="AK10" s="135"/>
      <c r="AN10" s="136"/>
    </row>
    <row r="11" spans="1:40" ht="17.100000000000001" customHeight="1">
      <c r="A11" s="1175"/>
      <c r="B11" s="126" t="s">
        <v>891</v>
      </c>
      <c r="C11" s="170">
        <f>IF(C10=AA2,2.032,IF(C10=AA3,3.175,IF(C10=AA4,5.08,IF(C10=AA5,9.525,IF(C10=AA6,12.7,IF(C10=AA7,22.225,IF(C10=AA8,31.75)))))))</f>
        <v>9.5250000000000004</v>
      </c>
      <c r="D11" s="139"/>
      <c r="F11" s="1156"/>
      <c r="G11" s="1156"/>
      <c r="H11" s="1156"/>
      <c r="I11" s="1156"/>
      <c r="J11" s="1133"/>
      <c r="K11" s="1133"/>
      <c r="L11" s="1133"/>
      <c r="M11" s="1133"/>
      <c r="N11" s="1133"/>
      <c r="O11" s="1133"/>
      <c r="P11" s="135"/>
      <c r="Q11" s="135"/>
      <c r="R11" s="135"/>
      <c r="S11" s="135"/>
      <c r="T11" s="135"/>
      <c r="U11" s="135"/>
      <c r="V11" s="135"/>
      <c r="W11" s="135"/>
      <c r="X11" s="135"/>
      <c r="Y11" s="135"/>
      <c r="Z11" s="135"/>
      <c r="AB11" s="135"/>
      <c r="AC11" s="135"/>
      <c r="AD11" s="135"/>
      <c r="AE11" s="135"/>
      <c r="AF11" s="135"/>
      <c r="AG11" s="135"/>
      <c r="AH11" s="135"/>
      <c r="AI11" s="135"/>
      <c r="AJ11" s="135"/>
      <c r="AK11" s="135"/>
      <c r="AN11" s="136"/>
    </row>
    <row r="12" spans="1:40" ht="17.100000000000001" customHeight="1">
      <c r="A12" s="1134" t="s">
        <v>925</v>
      </c>
      <c r="B12" s="126" t="s">
        <v>904</v>
      </c>
      <c r="C12" s="330">
        <v>12</v>
      </c>
      <c r="D12" s="139" t="s">
        <v>822</v>
      </c>
      <c r="F12" s="1140" t="s">
        <v>863</v>
      </c>
      <c r="G12" s="1140"/>
      <c r="H12" s="1140"/>
      <c r="I12" s="1140"/>
      <c r="J12" s="1135">
        <v>1.4</v>
      </c>
      <c r="K12" s="1135">
        <v>1.6</v>
      </c>
      <c r="L12" s="1135">
        <v>1.8</v>
      </c>
      <c r="M12" s="1135">
        <v>1.6</v>
      </c>
      <c r="N12" s="1135">
        <v>1.8</v>
      </c>
      <c r="O12" s="1135">
        <v>2</v>
      </c>
      <c r="P12" s="135"/>
      <c r="Q12" s="135"/>
      <c r="R12" s="135"/>
      <c r="S12" s="135"/>
      <c r="T12" s="135"/>
      <c r="U12" s="135"/>
      <c r="V12" s="135"/>
      <c r="W12" s="135"/>
      <c r="X12" s="135"/>
      <c r="Y12" s="135"/>
      <c r="Z12" s="135"/>
      <c r="AA12" s="135"/>
      <c r="AB12" s="135"/>
      <c r="AC12" s="135"/>
      <c r="AD12" s="135"/>
      <c r="AE12" s="135"/>
      <c r="AF12" s="135"/>
      <c r="AG12" s="135"/>
      <c r="AH12" s="135"/>
      <c r="AI12" s="135"/>
      <c r="AJ12" s="135"/>
      <c r="AK12" s="135"/>
    </row>
    <row r="13" spans="1:40" ht="17.100000000000001" customHeight="1">
      <c r="A13" s="1134"/>
      <c r="B13" s="126" t="s">
        <v>906</v>
      </c>
      <c r="C13" s="129">
        <f>C12*C7</f>
        <v>31.200000000000003</v>
      </c>
      <c r="D13" s="126" t="s">
        <v>853</v>
      </c>
      <c r="F13" s="1140"/>
      <c r="G13" s="1140"/>
      <c r="H13" s="1140"/>
      <c r="I13" s="1140"/>
      <c r="J13" s="1135"/>
      <c r="K13" s="1135"/>
      <c r="L13" s="1135"/>
      <c r="M13" s="1135"/>
      <c r="N13" s="1135"/>
      <c r="O13" s="1135"/>
      <c r="AA13" s="135"/>
    </row>
    <row r="14" spans="1:40" ht="17.100000000000001" customHeight="1">
      <c r="A14" s="1134"/>
      <c r="B14" s="126" t="s">
        <v>905</v>
      </c>
      <c r="C14" s="330">
        <v>31</v>
      </c>
      <c r="D14" s="126"/>
      <c r="F14" s="1159" t="s">
        <v>865</v>
      </c>
      <c r="G14" s="1160"/>
      <c r="H14" s="1160"/>
      <c r="I14" s="1160"/>
      <c r="J14" s="1133">
        <v>1.5</v>
      </c>
      <c r="K14" s="1133">
        <v>1.7</v>
      </c>
      <c r="L14" s="1133">
        <v>1.9</v>
      </c>
      <c r="M14" s="1133">
        <v>1.7</v>
      </c>
      <c r="N14" s="1133">
        <v>1.9</v>
      </c>
      <c r="O14" s="1133">
        <v>2.1</v>
      </c>
    </row>
    <row r="15" spans="1:40" ht="17.100000000000001" customHeight="1">
      <c r="A15" s="1134"/>
      <c r="B15" s="126" t="s">
        <v>907</v>
      </c>
      <c r="C15" s="331">
        <f>C12*C11/PI()</f>
        <v>36.382819990807278</v>
      </c>
      <c r="D15" s="1158" t="s">
        <v>908</v>
      </c>
      <c r="F15" s="1160"/>
      <c r="G15" s="1160"/>
      <c r="H15" s="1160"/>
      <c r="I15" s="1160"/>
      <c r="J15" s="1133"/>
      <c r="K15" s="1133"/>
      <c r="L15" s="1133"/>
      <c r="M15" s="1133"/>
      <c r="N15" s="1133"/>
      <c r="O15" s="1133"/>
    </row>
    <row r="16" spans="1:40" ht="17.100000000000001" customHeight="1">
      <c r="A16" s="1134"/>
      <c r="B16" s="126" t="s">
        <v>909</v>
      </c>
      <c r="C16" s="331">
        <f>C14*C11/PI()</f>
        <v>93.988951642918806</v>
      </c>
      <c r="D16" s="1158"/>
      <c r="F16" s="1157" t="s">
        <v>864</v>
      </c>
      <c r="G16" s="1157"/>
      <c r="H16" s="1157"/>
      <c r="I16" s="1157"/>
      <c r="J16" s="1135">
        <v>1.6</v>
      </c>
      <c r="K16" s="1135">
        <v>1.8</v>
      </c>
      <c r="L16" s="1135">
        <v>2</v>
      </c>
      <c r="M16" s="1135">
        <v>1.8</v>
      </c>
      <c r="N16" s="1135">
        <v>2</v>
      </c>
      <c r="O16" s="1135">
        <v>2.2000000000000002</v>
      </c>
    </row>
    <row r="17" spans="1:21" ht="15" customHeight="1">
      <c r="A17" s="1134" t="s">
        <v>910</v>
      </c>
      <c r="B17" s="126" t="s">
        <v>916</v>
      </c>
      <c r="C17" s="331">
        <f>PI()*C15*C5/60/1000</f>
        <v>1.9050000000000002</v>
      </c>
      <c r="D17" s="168"/>
      <c r="F17" s="1157"/>
      <c r="G17" s="1157"/>
      <c r="H17" s="1157"/>
      <c r="I17" s="1157"/>
      <c r="J17" s="1135"/>
      <c r="K17" s="1135"/>
      <c r="L17" s="1135"/>
      <c r="M17" s="1135"/>
      <c r="N17" s="1135"/>
      <c r="O17" s="1135"/>
    </row>
    <row r="18" spans="1:21" ht="14.25" customHeight="1">
      <c r="A18" s="1134"/>
      <c r="B18" s="126" t="s">
        <v>915</v>
      </c>
      <c r="C18" s="129">
        <f>IF(OR(C10=AA2,C10=AA3,C10=AA4),50,IF(OR(C10=AA5,C10=AA3,C10=AA6),40,IF(OR(C10=AA7,C10=AA3,C10=AA8),30,"请在C9选择带型")))</f>
        <v>40</v>
      </c>
      <c r="D18" s="168" t="s">
        <v>920</v>
      </c>
      <c r="F18" s="1157" t="s">
        <v>866</v>
      </c>
      <c r="G18" s="1157"/>
      <c r="H18" s="1157"/>
      <c r="I18" s="1157"/>
      <c r="J18" s="1133">
        <v>1.7</v>
      </c>
      <c r="K18" s="1133">
        <v>1.9</v>
      </c>
      <c r="L18" s="1133">
        <v>2.1</v>
      </c>
      <c r="M18" s="1133">
        <v>1.9</v>
      </c>
      <c r="N18" s="1133">
        <v>2.1</v>
      </c>
      <c r="O18" s="1133">
        <v>2.2999999999999998</v>
      </c>
    </row>
    <row r="19" spans="1:21" ht="15" customHeight="1">
      <c r="A19" s="1134"/>
      <c r="B19" s="150" t="str">
        <f>IF(OR((C17&lt;C18),(C17=C18)),"V≤Vmax","V＞Vmax")</f>
        <v>V≤Vmax</v>
      </c>
      <c r="C19" s="169" t="str">
        <f>IF(OR((C17&lt;C18),(C17=C18)),"校验合格","校验不合格")</f>
        <v>校验合格</v>
      </c>
      <c r="D19" s="139"/>
      <c r="F19" s="1157"/>
      <c r="G19" s="1157"/>
      <c r="H19" s="1157"/>
      <c r="I19" s="1157"/>
      <c r="J19" s="1133"/>
      <c r="K19" s="1133"/>
      <c r="L19" s="1133"/>
      <c r="M19" s="1133"/>
      <c r="N19" s="1133"/>
      <c r="O19" s="1133"/>
    </row>
    <row r="20" spans="1:21" ht="14.25" customHeight="1">
      <c r="A20" s="1134" t="s">
        <v>923</v>
      </c>
      <c r="B20" s="126" t="s">
        <v>924</v>
      </c>
      <c r="C20" s="129">
        <f>2*C6+0.5*PI()*(C15+C16)+(C16-C15)^2/(4*C6)</f>
        <v>375.15770751225131</v>
      </c>
      <c r="D20" s="126"/>
      <c r="F20" s="1157" t="s">
        <v>867</v>
      </c>
      <c r="G20" s="1157"/>
      <c r="H20" s="1157"/>
      <c r="I20" s="1157"/>
      <c r="J20" s="1135">
        <v>1.8</v>
      </c>
      <c r="K20" s="1135">
        <v>2</v>
      </c>
      <c r="L20" s="1135">
        <v>2.2000000000000002</v>
      </c>
      <c r="M20" s="1135">
        <v>2</v>
      </c>
      <c r="N20" s="1135">
        <v>2.2000000000000002</v>
      </c>
      <c r="O20" s="1135">
        <v>2.4</v>
      </c>
    </row>
    <row r="21" spans="1:21" ht="15" customHeight="1">
      <c r="A21" s="1134"/>
      <c r="B21" s="126" t="s">
        <v>777</v>
      </c>
      <c r="C21" s="330">
        <v>381</v>
      </c>
      <c r="D21" s="1172" t="s">
        <v>821</v>
      </c>
      <c r="F21" s="1157"/>
      <c r="G21" s="1157"/>
      <c r="H21" s="1157"/>
      <c r="I21" s="1157"/>
      <c r="J21" s="1135"/>
      <c r="K21" s="1135"/>
      <c r="L21" s="1135"/>
      <c r="M21" s="1135"/>
      <c r="N21" s="1135"/>
      <c r="O21" s="1135"/>
    </row>
    <row r="22" spans="1:21" ht="14.25" customHeight="1">
      <c r="A22" s="1134"/>
      <c r="B22" s="126" t="s">
        <v>931</v>
      </c>
      <c r="C22" s="330">
        <v>40</v>
      </c>
      <c r="D22" s="1172"/>
      <c r="F22" s="1157" t="s">
        <v>868</v>
      </c>
      <c r="G22" s="1157"/>
      <c r="H22" s="1157"/>
      <c r="I22" s="1157"/>
      <c r="J22" s="1133">
        <v>1.9</v>
      </c>
      <c r="K22" s="1133">
        <v>2.1</v>
      </c>
      <c r="L22" s="1133">
        <v>2.2999999999999998</v>
      </c>
      <c r="M22" s="1133">
        <v>2.1</v>
      </c>
      <c r="N22" s="1133">
        <v>2.2999999999999998</v>
      </c>
      <c r="O22" s="1133">
        <v>2.5</v>
      </c>
    </row>
    <row r="23" spans="1:21" ht="15" customHeight="1">
      <c r="A23" s="1134" t="s">
        <v>926</v>
      </c>
      <c r="B23" s="126" t="s">
        <v>932</v>
      </c>
      <c r="C23" s="129">
        <f>2*C21-(C12+C14)*C11</f>
        <v>352.42500000000001</v>
      </c>
      <c r="D23" s="151" t="s">
        <v>927</v>
      </c>
      <c r="F23" s="1157"/>
      <c r="G23" s="1157"/>
      <c r="H23" s="1157"/>
      <c r="I23" s="1157"/>
      <c r="J23" s="1133"/>
      <c r="K23" s="1133"/>
      <c r="L23" s="1133"/>
      <c r="M23" s="1133"/>
      <c r="N23" s="1133"/>
      <c r="O23" s="1133"/>
    </row>
    <row r="24" spans="1:21" ht="17.25">
      <c r="A24" s="1134"/>
      <c r="B24" s="126" t="s">
        <v>928</v>
      </c>
      <c r="C24" s="171">
        <f>(C23+(C23^2-8*(C16-C15)^2)^0.5)/8</f>
        <v>83.115504878542652</v>
      </c>
      <c r="D24" s="151" t="s">
        <v>929</v>
      </c>
    </row>
    <row r="25" spans="1:21" ht="14.25">
      <c r="A25" s="1150" t="s">
        <v>930</v>
      </c>
      <c r="B25" s="126" t="s">
        <v>933</v>
      </c>
      <c r="C25" s="129">
        <f>0.5*C12-C12*C11*(C14-C12)/(2*C24*(PI())^2)</f>
        <v>4.6763046507531296</v>
      </c>
      <c r="D25" s="139"/>
      <c r="F25" t="s">
        <v>911</v>
      </c>
    </row>
    <row r="26" spans="1:21" ht="14.25">
      <c r="A26" s="1151"/>
      <c r="B26" s="126" t="s">
        <v>934</v>
      </c>
      <c r="C26" s="129">
        <f>IF(C25&lt;6,1-0.2*(6-C25),1)</f>
        <v>0.73526093015062588</v>
      </c>
      <c r="D26" s="139"/>
      <c r="N26" s="117" t="s">
        <v>912</v>
      </c>
      <c r="O26" s="116" t="s">
        <v>882</v>
      </c>
      <c r="P26" s="116" t="s">
        <v>892</v>
      </c>
      <c r="Q26" s="116" t="s">
        <v>883</v>
      </c>
      <c r="R26" s="116" t="s">
        <v>885</v>
      </c>
      <c r="S26" s="116" t="s">
        <v>886</v>
      </c>
      <c r="T26" s="116" t="s">
        <v>887</v>
      </c>
      <c r="U26" s="116" t="s">
        <v>889</v>
      </c>
    </row>
    <row r="27" spans="1:21" ht="14.25">
      <c r="A27" s="1151"/>
      <c r="B27" s="126" t="s">
        <v>935</v>
      </c>
      <c r="C27" s="326">
        <v>0.47</v>
      </c>
      <c r="D27" s="139" t="s">
        <v>936</v>
      </c>
      <c r="N27" s="117" t="s">
        <v>913</v>
      </c>
      <c r="O27" s="116">
        <v>2.032</v>
      </c>
      <c r="P27" s="116">
        <v>3.1749999999999998</v>
      </c>
      <c r="Q27" s="116">
        <v>5.08</v>
      </c>
      <c r="R27" s="116">
        <v>9.5250000000000004</v>
      </c>
      <c r="S27" s="116">
        <v>12.7</v>
      </c>
      <c r="T27" s="116">
        <v>22.225000000000001</v>
      </c>
      <c r="U27" s="116">
        <v>31.75</v>
      </c>
    </row>
    <row r="28" spans="1:21" ht="14.25">
      <c r="A28" s="1151"/>
      <c r="B28" s="126" t="s">
        <v>940</v>
      </c>
      <c r="C28" s="326">
        <v>25.4</v>
      </c>
      <c r="D28" s="139"/>
      <c r="N28" s="116" t="s">
        <v>914</v>
      </c>
      <c r="O28" s="1161" t="s">
        <v>917</v>
      </c>
      <c r="P28" s="1161"/>
      <c r="Q28" s="1161"/>
      <c r="R28" s="1161" t="s">
        <v>918</v>
      </c>
      <c r="S28" s="1161"/>
      <c r="T28" s="1161" t="s">
        <v>919</v>
      </c>
      <c r="U28" s="1161"/>
    </row>
    <row r="29" spans="1:21" ht="14.25">
      <c r="A29" s="1151"/>
      <c r="B29" s="126" t="s">
        <v>963</v>
      </c>
      <c r="C29" s="129">
        <f>C28*(C9/(C26*C27))^(1/1.14)</f>
        <v>10.043567757398948</v>
      </c>
      <c r="D29" s="129"/>
      <c r="N29" s="175" t="s">
        <v>968</v>
      </c>
      <c r="T29" s="175" t="s">
        <v>969</v>
      </c>
    </row>
    <row r="30" spans="1:21" ht="14.25">
      <c r="A30" s="1152"/>
      <c r="B30" s="148" t="s">
        <v>962</v>
      </c>
      <c r="C30" s="131">
        <v>12.7</v>
      </c>
      <c r="D30" s="126" t="s">
        <v>961</v>
      </c>
    </row>
    <row r="31" spans="1:21" ht="14.25">
      <c r="A31" s="172" t="s">
        <v>964</v>
      </c>
      <c r="B31" s="173" t="s">
        <v>965</v>
      </c>
      <c r="C31" s="332" t="s">
        <v>970</v>
      </c>
      <c r="D31" s="130" t="s">
        <v>966</v>
      </c>
    </row>
    <row r="32" spans="1:21" ht="14.25" customHeight="1" thickBot="1">
      <c r="A32" s="124"/>
      <c r="B32" s="124"/>
      <c r="C32" s="125"/>
    </row>
    <row r="33" spans="1:14" ht="14.25" customHeight="1">
      <c r="A33" s="1153" t="s">
        <v>972</v>
      </c>
      <c r="B33" s="1153"/>
      <c r="C33" s="1153"/>
      <c r="D33" s="1153"/>
    </row>
    <row r="34" spans="1:14" ht="14.25">
      <c r="A34" s="1154"/>
      <c r="B34" s="1154"/>
      <c r="C34" s="1154"/>
      <c r="D34" s="1154"/>
    </row>
    <row r="35" spans="1:14" ht="14.25">
      <c r="A35" s="1154"/>
      <c r="B35" s="1154"/>
      <c r="C35" s="1154"/>
      <c r="D35" s="1154"/>
    </row>
    <row r="36" spans="1:14" ht="14.25">
      <c r="A36" s="1154"/>
      <c r="B36" s="1154"/>
      <c r="C36" s="1154"/>
      <c r="D36" s="1154"/>
    </row>
    <row r="37" spans="1:14" ht="14.25">
      <c r="A37" s="1154"/>
      <c r="B37" s="1154"/>
      <c r="C37" s="1154"/>
      <c r="D37" s="1154"/>
    </row>
    <row r="38" spans="1:14" ht="14.25">
      <c r="A38" s="1154"/>
      <c r="B38" s="1154"/>
      <c r="C38" s="1154"/>
      <c r="D38" s="1154"/>
    </row>
    <row r="39" spans="1:14" ht="14.25">
      <c r="A39" s="1154"/>
      <c r="B39" s="1154"/>
      <c r="C39" s="1154"/>
      <c r="D39" s="1154"/>
    </row>
    <row r="40" spans="1:14" ht="14.25" customHeight="1">
      <c r="A40" s="1154"/>
      <c r="B40" s="1154"/>
      <c r="C40" s="1154"/>
      <c r="D40" s="1154"/>
    </row>
    <row r="41" spans="1:14" ht="14.25">
      <c r="A41" s="1154"/>
      <c r="B41" s="1154"/>
      <c r="C41" s="1154"/>
      <c r="D41" s="1154"/>
    </row>
    <row r="42" spans="1:14" ht="14.25">
      <c r="A42" s="1154"/>
      <c r="B42" s="1154"/>
      <c r="C42" s="1154"/>
      <c r="D42" s="1154"/>
    </row>
    <row r="43" spans="1:14" ht="14.25">
      <c r="A43" s="1154"/>
      <c r="B43" s="1154"/>
      <c r="C43" s="1154"/>
      <c r="D43" s="1154"/>
      <c r="F43" t="s">
        <v>893</v>
      </c>
    </row>
    <row r="44" spans="1:14" ht="15">
      <c r="A44" s="1154"/>
      <c r="B44" s="1154"/>
      <c r="C44" s="1154"/>
      <c r="D44" s="1154"/>
      <c r="F44" s="1179" t="s">
        <v>903</v>
      </c>
      <c r="G44" s="1173"/>
      <c r="H44" s="1174" t="s">
        <v>894</v>
      </c>
      <c r="I44" s="1174"/>
      <c r="J44" s="1174"/>
      <c r="K44" s="1174"/>
      <c r="L44" s="1174"/>
      <c r="M44" s="1174"/>
      <c r="N44" s="1174"/>
    </row>
    <row r="45" spans="1:14" ht="15">
      <c r="A45" s="1154"/>
      <c r="B45" s="1154"/>
      <c r="C45" s="1154"/>
      <c r="D45" s="1154"/>
      <c r="F45" s="1173"/>
      <c r="G45" s="1173"/>
      <c r="H45" s="147" t="s">
        <v>882</v>
      </c>
      <c r="I45" s="147" t="s">
        <v>892</v>
      </c>
      <c r="J45" s="147" t="s">
        <v>883</v>
      </c>
      <c r="K45" s="147" t="s">
        <v>885</v>
      </c>
      <c r="L45" s="147" t="s">
        <v>886</v>
      </c>
      <c r="M45" s="147" t="s">
        <v>887</v>
      </c>
      <c r="N45" s="147" t="s">
        <v>888</v>
      </c>
    </row>
    <row r="46" spans="1:14" ht="15">
      <c r="A46" s="1154"/>
      <c r="B46" s="1154"/>
      <c r="C46" s="1154"/>
      <c r="D46" s="1154"/>
      <c r="F46" s="1173" t="s">
        <v>901</v>
      </c>
      <c r="G46" s="1173"/>
      <c r="H46" s="146">
        <v>10</v>
      </c>
      <c r="I46" s="146">
        <v>10</v>
      </c>
      <c r="J46" s="146">
        <v>10</v>
      </c>
      <c r="K46" s="146">
        <v>12</v>
      </c>
      <c r="L46" s="146">
        <v>14</v>
      </c>
      <c r="M46" s="146">
        <v>22</v>
      </c>
      <c r="N46" s="146">
        <v>22</v>
      </c>
    </row>
    <row r="47" spans="1:14" ht="15">
      <c r="A47" s="1154"/>
      <c r="B47" s="1154"/>
      <c r="C47" s="1154"/>
      <c r="D47" s="1154"/>
      <c r="F47" s="1173" t="s">
        <v>895</v>
      </c>
      <c r="G47" s="1173"/>
      <c r="H47" s="147">
        <v>12</v>
      </c>
      <c r="I47" s="147">
        <v>12</v>
      </c>
      <c r="J47" s="147">
        <v>10</v>
      </c>
      <c r="K47" s="147">
        <v>12</v>
      </c>
      <c r="L47" s="147">
        <v>16</v>
      </c>
      <c r="M47" s="147">
        <v>24</v>
      </c>
      <c r="N47" s="147">
        <v>24</v>
      </c>
    </row>
    <row r="48" spans="1:14" ht="15">
      <c r="A48" s="1154"/>
      <c r="B48" s="1154"/>
      <c r="C48" s="1154"/>
      <c r="D48" s="1154"/>
      <c r="F48" s="1173" t="s">
        <v>896</v>
      </c>
      <c r="G48" s="1173"/>
      <c r="H48" s="146">
        <v>14</v>
      </c>
      <c r="I48" s="146">
        <v>14</v>
      </c>
      <c r="J48" s="146">
        <v>12</v>
      </c>
      <c r="K48" s="146">
        <v>14</v>
      </c>
      <c r="L48" s="146">
        <v>18</v>
      </c>
      <c r="M48" s="146">
        <v>26</v>
      </c>
      <c r="N48" s="146">
        <v>26</v>
      </c>
    </row>
    <row r="49" spans="1:20" ht="15">
      <c r="A49" s="1154"/>
      <c r="B49" s="1154"/>
      <c r="C49" s="1154"/>
      <c r="D49" s="1154"/>
      <c r="F49" s="1173" t="s">
        <v>897</v>
      </c>
      <c r="G49" s="1173"/>
      <c r="H49" s="147">
        <v>16</v>
      </c>
      <c r="I49" s="147">
        <v>16</v>
      </c>
      <c r="J49" s="147">
        <v>12</v>
      </c>
      <c r="K49" s="147">
        <v>16</v>
      </c>
      <c r="L49" s="147">
        <v>20</v>
      </c>
      <c r="M49" s="147">
        <v>30</v>
      </c>
      <c r="N49" s="147"/>
    </row>
    <row r="50" spans="1:20" ht="15">
      <c r="A50" s="1154"/>
      <c r="B50" s="1154"/>
      <c r="C50" s="1154"/>
      <c r="D50" s="1154"/>
      <c r="F50" s="1173" t="s">
        <v>902</v>
      </c>
      <c r="G50" s="1173"/>
      <c r="H50" s="146">
        <v>18</v>
      </c>
      <c r="I50" s="146">
        <v>18</v>
      </c>
      <c r="J50" s="146">
        <v>15</v>
      </c>
      <c r="K50" s="146">
        <v>18</v>
      </c>
      <c r="L50" s="146">
        <v>22</v>
      </c>
      <c r="M50" s="146"/>
      <c r="N50" s="146"/>
    </row>
    <row r="51" spans="1:20" ht="14.25">
      <c r="A51" s="1154"/>
      <c r="B51" s="1154"/>
      <c r="C51" s="1154"/>
      <c r="D51" s="1154"/>
      <c r="G51" s="120"/>
      <c r="H51" s="120"/>
      <c r="I51" s="120"/>
      <c r="J51" s="120"/>
      <c r="K51" s="120"/>
      <c r="L51" s="120"/>
    </row>
    <row r="52" spans="1:20" ht="14.25">
      <c r="A52" s="1154"/>
      <c r="B52" s="1154"/>
      <c r="C52" s="1154"/>
      <c r="D52" s="1154"/>
      <c r="F52" t="s">
        <v>938</v>
      </c>
      <c r="G52" s="120"/>
      <c r="H52" s="120"/>
      <c r="I52" s="120"/>
      <c r="J52" s="120"/>
      <c r="K52" s="120"/>
      <c r="L52" s="120"/>
      <c r="T52" t="s">
        <v>939</v>
      </c>
    </row>
    <row r="53" spans="1:20" ht="14.25">
      <c r="A53" s="1154"/>
      <c r="B53" s="1154"/>
      <c r="C53" s="1154"/>
      <c r="D53" s="1154"/>
      <c r="G53" s="120"/>
      <c r="H53" s="120"/>
      <c r="I53" s="120"/>
      <c r="J53" s="120"/>
      <c r="K53" s="120"/>
      <c r="L53" s="120"/>
    </row>
    <row r="54" spans="1:20" ht="14.25" customHeight="1" thickBot="1">
      <c r="A54" s="1155"/>
      <c r="B54" s="1155"/>
      <c r="C54" s="1155"/>
      <c r="D54" s="1155"/>
      <c r="G54" s="120"/>
      <c r="H54" s="120"/>
      <c r="I54" s="120"/>
      <c r="J54" s="120"/>
      <c r="K54" s="120"/>
      <c r="L54" s="120"/>
    </row>
    <row r="55" spans="1:20" ht="14.25" customHeight="1">
      <c r="A55" s="1163" t="s">
        <v>967</v>
      </c>
      <c r="B55" s="1164"/>
      <c r="C55" s="1164"/>
      <c r="D55" s="1165"/>
      <c r="G55" s="120"/>
      <c r="H55" s="120"/>
      <c r="I55" s="120"/>
      <c r="J55" s="120"/>
      <c r="K55" s="120"/>
      <c r="L55" s="120"/>
    </row>
    <row r="56" spans="1:20" ht="14.25" customHeight="1">
      <c r="A56" s="1166"/>
      <c r="B56" s="1167"/>
      <c r="C56" s="1167"/>
      <c r="D56" s="1168"/>
      <c r="G56" s="120"/>
      <c r="H56" s="120"/>
      <c r="I56" s="120"/>
      <c r="J56" s="120"/>
      <c r="K56" s="120"/>
      <c r="L56" s="120"/>
    </row>
    <row r="57" spans="1:20" ht="14.25">
      <c r="A57" s="1166"/>
      <c r="B57" s="1167"/>
      <c r="C57" s="1167"/>
      <c r="D57" s="1168"/>
      <c r="G57" s="120"/>
      <c r="H57" s="120"/>
      <c r="I57" s="120"/>
      <c r="J57" s="120"/>
      <c r="K57" s="120"/>
      <c r="L57" s="120"/>
    </row>
    <row r="58" spans="1:20" ht="14.25">
      <c r="A58" s="1166"/>
      <c r="B58" s="1167"/>
      <c r="C58" s="1167"/>
      <c r="D58" s="1168"/>
      <c r="G58" s="120"/>
      <c r="H58" s="120"/>
      <c r="I58" s="120"/>
      <c r="J58" s="120"/>
      <c r="K58" s="120"/>
      <c r="L58" s="120"/>
    </row>
    <row r="59" spans="1:20" ht="14.25">
      <c r="A59" s="1166"/>
      <c r="B59" s="1167"/>
      <c r="C59" s="1167"/>
      <c r="D59" s="1168"/>
      <c r="G59" s="120"/>
      <c r="H59" s="120"/>
      <c r="I59" s="120"/>
      <c r="J59" s="120"/>
      <c r="K59" s="120"/>
      <c r="L59" s="120"/>
    </row>
    <row r="60" spans="1:20" ht="14.25">
      <c r="A60" s="1166"/>
      <c r="B60" s="1167"/>
      <c r="C60" s="1167"/>
      <c r="D60" s="1168"/>
      <c r="G60" s="120"/>
      <c r="H60" s="120"/>
      <c r="I60" s="120"/>
      <c r="J60" s="120"/>
      <c r="K60" s="120"/>
      <c r="L60" s="120"/>
    </row>
    <row r="61" spans="1:20" ht="15" thickBot="1">
      <c r="A61" s="1169"/>
      <c r="B61" s="1170"/>
      <c r="C61" s="1170"/>
      <c r="D61" s="1171"/>
      <c r="G61" s="120"/>
      <c r="H61" s="120"/>
      <c r="I61" s="120"/>
      <c r="J61" s="120"/>
      <c r="K61" s="120"/>
      <c r="L61" s="120"/>
    </row>
    <row r="62" spans="1:20" ht="14.25">
      <c r="G62" s="120"/>
      <c r="H62" s="120"/>
      <c r="I62" s="120"/>
      <c r="J62" s="120"/>
      <c r="K62" s="120"/>
      <c r="L62" s="120"/>
    </row>
    <row r="63" spans="1:20" ht="14.25"/>
    <row r="64" spans="1:20" ht="14.25">
      <c r="F64" t="s">
        <v>937</v>
      </c>
    </row>
    <row r="65" spans="6:19" ht="15">
      <c r="F65" s="152"/>
      <c r="G65" s="153"/>
      <c r="H65" s="154"/>
      <c r="I65" s="154"/>
      <c r="J65" s="154"/>
      <c r="K65" s="154"/>
      <c r="L65" s="154"/>
      <c r="M65" s="154"/>
      <c r="N65" s="154"/>
      <c r="O65" s="152"/>
      <c r="P65" s="153"/>
      <c r="Q65" s="154"/>
      <c r="R65" s="154"/>
      <c r="S65" s="154"/>
    </row>
    <row r="66" spans="6:19" ht="15">
      <c r="F66" s="152"/>
      <c r="G66" s="153"/>
      <c r="H66" s="154"/>
      <c r="I66" s="154"/>
      <c r="J66" s="154"/>
      <c r="K66" s="154"/>
      <c r="L66" s="154"/>
      <c r="M66" s="154"/>
      <c r="N66" s="154"/>
      <c r="O66" s="152"/>
      <c r="P66" s="153"/>
      <c r="Q66" s="154"/>
      <c r="R66" s="154"/>
      <c r="S66" s="154"/>
    </row>
    <row r="67" spans="6:19" ht="15">
      <c r="F67" s="152"/>
      <c r="G67" s="155"/>
      <c r="H67" s="155"/>
      <c r="I67" s="156"/>
      <c r="J67" s="156"/>
      <c r="K67" s="156"/>
      <c r="L67" s="156"/>
      <c r="M67" s="156"/>
      <c r="N67" s="156"/>
      <c r="O67" s="154"/>
      <c r="P67" s="155"/>
      <c r="Q67" s="156"/>
      <c r="R67" s="156"/>
      <c r="S67" s="156"/>
    </row>
    <row r="68" spans="6:19" ht="15">
      <c r="F68" s="152"/>
      <c r="G68" s="155"/>
      <c r="H68" s="155"/>
      <c r="I68" s="156"/>
      <c r="J68" s="156"/>
      <c r="K68" s="156"/>
      <c r="L68" s="156"/>
      <c r="M68" s="156"/>
      <c r="N68" s="156"/>
      <c r="O68" s="154"/>
      <c r="P68" s="155"/>
      <c r="Q68" s="156"/>
      <c r="R68" s="156"/>
      <c r="S68" s="156"/>
    </row>
    <row r="69" spans="6:19" ht="15">
      <c r="F69" s="152"/>
      <c r="G69" s="155"/>
      <c r="H69" s="155"/>
      <c r="I69" s="156"/>
      <c r="J69" s="156"/>
      <c r="K69" s="156"/>
      <c r="L69" s="156"/>
      <c r="M69" s="156"/>
      <c r="N69" s="156"/>
      <c r="O69" s="154"/>
      <c r="P69" s="155"/>
      <c r="Q69" s="156"/>
      <c r="R69" s="156"/>
      <c r="S69" s="156"/>
    </row>
    <row r="70" spans="6:19" ht="15">
      <c r="F70" s="152"/>
      <c r="G70" s="155"/>
      <c r="H70" s="155"/>
      <c r="I70" s="156"/>
      <c r="J70" s="156"/>
      <c r="K70" s="156"/>
      <c r="L70" s="156"/>
      <c r="M70" s="156"/>
      <c r="N70" s="156"/>
      <c r="O70" s="154"/>
      <c r="P70" s="155"/>
      <c r="Q70" s="156"/>
      <c r="R70" s="156"/>
      <c r="S70" s="156"/>
    </row>
    <row r="71" spans="6:19" ht="15">
      <c r="F71" s="152"/>
      <c r="G71" s="155"/>
      <c r="H71" s="155"/>
      <c r="I71" s="156"/>
      <c r="J71" s="156"/>
      <c r="K71" s="156"/>
      <c r="L71" s="156"/>
      <c r="M71" s="156"/>
      <c r="N71" s="156"/>
      <c r="O71" s="154"/>
      <c r="P71" s="155"/>
      <c r="Q71" s="156"/>
      <c r="R71" s="156"/>
      <c r="S71" s="156"/>
    </row>
    <row r="72" spans="6:19" ht="15">
      <c r="F72" s="152"/>
      <c r="G72" s="155"/>
      <c r="H72" s="155"/>
      <c r="I72" s="156"/>
      <c r="J72" s="156"/>
      <c r="K72" s="156"/>
      <c r="L72" s="156"/>
      <c r="M72" s="156"/>
      <c r="N72" s="156"/>
      <c r="O72" s="154"/>
      <c r="P72" s="155"/>
      <c r="Q72" s="156"/>
      <c r="R72" s="156"/>
      <c r="S72" s="156"/>
    </row>
    <row r="73" spans="6:19" ht="15">
      <c r="F73" s="152"/>
      <c r="G73" s="155"/>
      <c r="H73" s="155"/>
      <c r="I73" s="156"/>
      <c r="J73" s="156"/>
      <c r="K73" s="156"/>
      <c r="L73" s="156"/>
      <c r="M73" s="156"/>
      <c r="N73" s="156"/>
      <c r="O73" s="154"/>
      <c r="P73" s="155"/>
      <c r="Q73" s="156"/>
      <c r="R73" s="156"/>
      <c r="S73" s="156"/>
    </row>
    <row r="74" spans="6:19" ht="15">
      <c r="F74" s="152"/>
      <c r="G74" s="155"/>
      <c r="H74" s="155"/>
      <c r="I74" s="156"/>
      <c r="J74" s="156"/>
      <c r="K74" s="156"/>
      <c r="L74" s="156"/>
      <c r="M74" s="156"/>
      <c r="N74" s="156"/>
      <c r="O74" s="154"/>
      <c r="P74" s="155"/>
      <c r="Q74" s="156"/>
      <c r="R74" s="156"/>
      <c r="S74" s="156"/>
    </row>
    <row r="75" spans="6:19" ht="15">
      <c r="F75" s="152"/>
      <c r="G75" s="155"/>
      <c r="H75" s="155"/>
      <c r="I75" s="156"/>
      <c r="J75" s="156"/>
      <c r="K75" s="156"/>
      <c r="L75" s="156"/>
      <c r="M75" s="156"/>
      <c r="N75" s="156"/>
      <c r="O75" s="154"/>
      <c r="P75" s="155"/>
      <c r="Q75" s="156"/>
      <c r="R75" s="156"/>
      <c r="S75" s="156"/>
    </row>
    <row r="76" spans="6:19" ht="15">
      <c r="F76" s="152"/>
      <c r="G76" s="155"/>
      <c r="H76" s="155"/>
      <c r="I76" s="156"/>
      <c r="J76" s="156"/>
      <c r="K76" s="156"/>
      <c r="L76" s="156"/>
      <c r="M76" s="156"/>
      <c r="N76" s="156"/>
      <c r="O76" s="154"/>
      <c r="P76" s="155"/>
      <c r="Q76" s="156"/>
      <c r="R76" s="156"/>
      <c r="S76" s="156"/>
    </row>
    <row r="77" spans="6:19" ht="15">
      <c r="F77" s="152"/>
      <c r="G77" s="155"/>
      <c r="H77" s="155"/>
      <c r="I77" s="156"/>
      <c r="J77" s="156"/>
      <c r="K77" s="156"/>
      <c r="L77" s="156"/>
      <c r="M77" s="156"/>
      <c r="N77" s="156"/>
      <c r="O77" s="154"/>
      <c r="P77" s="155"/>
      <c r="Q77" s="156"/>
      <c r="R77" s="156"/>
      <c r="S77" s="156"/>
    </row>
    <row r="78" spans="6:19" ht="15">
      <c r="F78" s="152"/>
      <c r="G78" s="155"/>
      <c r="H78" s="155"/>
      <c r="I78" s="156"/>
      <c r="J78" s="156"/>
      <c r="K78" s="156"/>
      <c r="L78" s="156"/>
      <c r="M78" s="156"/>
      <c r="N78" s="156"/>
      <c r="O78" s="154"/>
      <c r="P78" s="155"/>
      <c r="Q78" s="156"/>
      <c r="R78" s="156"/>
      <c r="S78" s="156"/>
    </row>
    <row r="79" spans="6:19" ht="15">
      <c r="F79" s="152"/>
      <c r="G79" s="155"/>
      <c r="H79" s="155"/>
      <c r="I79" s="156"/>
      <c r="J79" s="156"/>
      <c r="K79" s="156"/>
      <c r="L79" s="156"/>
      <c r="M79" s="156"/>
      <c r="N79" s="156"/>
      <c r="O79" s="154"/>
      <c r="P79" s="155"/>
      <c r="Q79" s="156"/>
      <c r="R79" s="156"/>
      <c r="S79" s="156"/>
    </row>
    <row r="80" spans="6:19" ht="15">
      <c r="F80" s="152"/>
      <c r="G80" s="155"/>
      <c r="H80" s="155"/>
      <c r="I80" s="156"/>
      <c r="J80" s="156"/>
      <c r="K80" s="156"/>
      <c r="L80" s="156"/>
      <c r="M80" s="156"/>
      <c r="N80" s="156"/>
      <c r="O80" s="154"/>
      <c r="P80" s="155"/>
      <c r="Q80" s="156"/>
      <c r="R80" s="156"/>
      <c r="S80" s="156"/>
    </row>
    <row r="81" spans="6:19" ht="15">
      <c r="F81" s="152"/>
      <c r="G81" s="155"/>
      <c r="H81" s="155"/>
      <c r="I81" s="156"/>
      <c r="J81" s="156"/>
      <c r="K81" s="156"/>
      <c r="L81" s="156"/>
      <c r="M81" s="156"/>
      <c r="N81" s="156"/>
      <c r="O81" s="154"/>
      <c r="P81" s="155"/>
      <c r="Q81" s="156"/>
      <c r="R81" s="156"/>
      <c r="S81" s="156"/>
    </row>
    <row r="82" spans="6:19" ht="15">
      <c r="F82" s="152"/>
      <c r="G82" s="155"/>
      <c r="H82" s="155"/>
      <c r="I82" s="156"/>
      <c r="J82" s="156"/>
      <c r="K82" s="156"/>
      <c r="L82" s="156"/>
      <c r="M82" s="156"/>
      <c r="N82" s="156"/>
      <c r="O82" s="154"/>
      <c r="P82" s="155"/>
      <c r="Q82" s="156"/>
      <c r="R82" s="156"/>
      <c r="S82" s="156"/>
    </row>
    <row r="83" spans="6:19" ht="15">
      <c r="F83" s="152"/>
      <c r="G83" s="155"/>
      <c r="H83" s="155"/>
      <c r="I83" s="156"/>
      <c r="J83" s="156"/>
      <c r="K83" s="156"/>
      <c r="L83" s="156"/>
      <c r="M83" s="156"/>
      <c r="N83" s="156"/>
      <c r="O83" s="154"/>
      <c r="P83" s="155"/>
      <c r="Q83" s="156"/>
      <c r="R83" s="156"/>
      <c r="S83" s="156"/>
    </row>
    <row r="84" spans="6:19" ht="15">
      <c r="F84" s="152"/>
      <c r="G84" s="155"/>
      <c r="H84" s="155"/>
      <c r="I84" s="156"/>
      <c r="J84" s="156"/>
      <c r="K84" s="156"/>
      <c r="L84" s="156"/>
      <c r="M84" s="156"/>
      <c r="N84" s="156"/>
      <c r="O84" s="154"/>
      <c r="P84" s="155"/>
      <c r="Q84" s="156"/>
      <c r="R84" s="156"/>
      <c r="S84" s="156"/>
    </row>
    <row r="85" spans="6:19" ht="15">
      <c r="F85" s="152"/>
      <c r="G85" s="155"/>
      <c r="H85" s="155"/>
      <c r="I85" s="156"/>
      <c r="J85" s="156"/>
      <c r="K85" s="156"/>
      <c r="L85" s="156"/>
      <c r="M85" s="156"/>
      <c r="N85" s="156"/>
      <c r="O85" s="154"/>
      <c r="P85" s="155"/>
      <c r="Q85" s="156"/>
      <c r="R85" s="156"/>
      <c r="S85" s="156"/>
    </row>
    <row r="86" spans="6:19" ht="15">
      <c r="F86" s="152"/>
      <c r="G86" s="155"/>
      <c r="H86" s="155"/>
      <c r="I86" s="156"/>
      <c r="J86" s="156"/>
      <c r="K86" s="156"/>
      <c r="L86" s="156"/>
      <c r="M86" s="156"/>
      <c r="N86" s="156"/>
      <c r="O86" s="154"/>
      <c r="P86" s="155"/>
      <c r="Q86" s="156"/>
      <c r="R86" s="156"/>
      <c r="S86" s="156"/>
    </row>
    <row r="87" spans="6:19" ht="15">
      <c r="F87" s="152"/>
      <c r="G87" s="155"/>
      <c r="H87" s="155"/>
      <c r="I87" s="156"/>
      <c r="J87" s="156"/>
      <c r="K87" s="156"/>
      <c r="L87" s="156"/>
      <c r="M87" s="156"/>
      <c r="N87" s="156"/>
      <c r="O87" s="154"/>
      <c r="P87" s="155"/>
      <c r="Q87" s="156"/>
      <c r="R87" s="156"/>
      <c r="S87" s="156"/>
    </row>
    <row r="88" spans="6:19" ht="15">
      <c r="F88" s="152"/>
      <c r="G88" s="155"/>
      <c r="H88" s="155"/>
      <c r="I88" s="156"/>
      <c r="J88" s="156"/>
      <c r="K88" s="156"/>
      <c r="L88" s="156"/>
      <c r="M88" s="156"/>
      <c r="N88" s="156"/>
      <c r="O88" s="154"/>
      <c r="P88" s="155"/>
      <c r="Q88" s="156"/>
      <c r="R88" s="156"/>
      <c r="S88" s="156"/>
    </row>
    <row r="89" spans="6:19" ht="15">
      <c r="F89" s="152"/>
      <c r="G89" s="155"/>
      <c r="H89" s="155"/>
      <c r="I89" s="156"/>
      <c r="J89" s="156"/>
      <c r="K89" s="156"/>
      <c r="L89" s="156"/>
      <c r="M89" s="156"/>
      <c r="N89" s="156"/>
      <c r="O89" s="154"/>
      <c r="P89" s="155"/>
      <c r="Q89" s="156"/>
      <c r="R89" s="156"/>
      <c r="S89" s="156"/>
    </row>
    <row r="90" spans="6:19" ht="15">
      <c r="F90" s="152"/>
      <c r="G90" s="155"/>
      <c r="H90" s="155"/>
      <c r="I90" s="156"/>
      <c r="J90" s="156"/>
      <c r="K90" s="156"/>
      <c r="L90" s="156"/>
      <c r="M90" s="156"/>
      <c r="N90" s="156"/>
      <c r="O90" s="154"/>
      <c r="P90" s="155"/>
      <c r="Q90" s="156"/>
      <c r="R90" s="156"/>
      <c r="S90" s="156"/>
    </row>
    <row r="91" spans="6:19" ht="15">
      <c r="F91" s="152"/>
      <c r="G91" s="155"/>
      <c r="H91" s="155"/>
      <c r="I91" s="156"/>
      <c r="J91" s="156"/>
      <c r="K91" s="156"/>
      <c r="L91" s="156"/>
      <c r="M91" s="156"/>
      <c r="N91" s="156"/>
      <c r="O91" s="154"/>
      <c r="P91" s="155"/>
      <c r="Q91" s="156"/>
      <c r="R91" s="156"/>
      <c r="S91" s="156"/>
    </row>
    <row r="92" spans="6:19" ht="15">
      <c r="F92" s="152"/>
      <c r="G92" s="155"/>
      <c r="H92" s="155"/>
      <c r="I92" s="156"/>
      <c r="J92" s="156"/>
      <c r="K92" s="156"/>
      <c r="L92" s="156"/>
      <c r="M92" s="156"/>
      <c r="N92" s="156"/>
      <c r="O92" s="154"/>
      <c r="P92" s="155"/>
      <c r="Q92" s="156"/>
      <c r="R92" s="156"/>
      <c r="S92" s="156"/>
    </row>
    <row r="93" spans="6:19" ht="14.25" customHeight="1">
      <c r="F93" s="152"/>
      <c r="G93" s="155"/>
      <c r="H93" s="155"/>
      <c r="I93" s="156"/>
      <c r="J93" s="156"/>
      <c r="K93" s="156"/>
      <c r="L93" s="156"/>
      <c r="M93" s="156"/>
      <c r="N93" s="156"/>
      <c r="O93" s="154"/>
      <c r="P93" s="155"/>
      <c r="Q93" s="156"/>
      <c r="R93" s="156"/>
      <c r="S93" s="156"/>
    </row>
    <row r="94" spans="6:19" ht="15">
      <c r="F94" s="152"/>
      <c r="G94" s="155"/>
      <c r="H94" s="155"/>
      <c r="I94" s="156"/>
      <c r="J94" s="156"/>
      <c r="K94" s="156"/>
      <c r="L94" s="156"/>
      <c r="M94" s="156"/>
      <c r="N94" s="156"/>
      <c r="O94" s="154"/>
      <c r="P94" s="155"/>
      <c r="Q94" s="156"/>
      <c r="R94" s="156"/>
      <c r="S94" s="156"/>
    </row>
    <row r="95" spans="6:19" ht="15">
      <c r="F95" s="152"/>
      <c r="G95" s="155"/>
      <c r="H95" s="155"/>
      <c r="I95" s="156"/>
      <c r="J95" s="156"/>
      <c r="K95" s="156"/>
      <c r="L95" s="156"/>
      <c r="M95" s="156"/>
      <c r="N95" s="156"/>
      <c r="O95" s="154"/>
      <c r="P95" s="155"/>
      <c r="Q95" s="156"/>
      <c r="R95" s="156"/>
      <c r="S95" s="156"/>
    </row>
    <row r="96" spans="6:19" ht="15">
      <c r="F96" s="152"/>
      <c r="G96" s="155"/>
      <c r="H96" s="155"/>
      <c r="I96" s="156"/>
      <c r="J96" s="156"/>
      <c r="K96" s="156"/>
      <c r="L96" s="156"/>
      <c r="M96" s="156"/>
      <c r="N96" s="156"/>
      <c r="O96" s="154"/>
      <c r="P96" s="155"/>
      <c r="Q96" s="156"/>
      <c r="R96" s="156"/>
      <c r="S96" s="156"/>
    </row>
    <row r="97" spans="6:23" ht="14.25">
      <c r="F97" t="s">
        <v>941</v>
      </c>
      <c r="G97" s="155"/>
      <c r="H97" s="155"/>
      <c r="I97" s="156"/>
      <c r="J97" s="156"/>
      <c r="K97" s="156"/>
      <c r="L97" s="156"/>
      <c r="M97" s="156"/>
      <c r="N97" s="157"/>
      <c r="O97" s="134"/>
      <c r="P97" s="134"/>
      <c r="Q97" s="134"/>
      <c r="R97" s="134"/>
      <c r="S97" s="134"/>
    </row>
    <row r="98" spans="6:23" ht="14.25">
      <c r="F98" s="1147" t="s">
        <v>912</v>
      </c>
      <c r="G98" s="1148" t="s">
        <v>944</v>
      </c>
      <c r="H98" s="1149"/>
      <c r="I98" s="1148" t="s">
        <v>945</v>
      </c>
      <c r="J98" s="1149"/>
      <c r="K98" s="1149"/>
    </row>
    <row r="99" spans="6:23" ht="14.25">
      <c r="F99" s="1147"/>
      <c r="G99" s="148" t="s">
        <v>942</v>
      </c>
      <c r="H99" s="148" t="s">
        <v>943</v>
      </c>
      <c r="I99" s="148" t="s">
        <v>946</v>
      </c>
      <c r="J99" s="148" t="s">
        <v>947</v>
      </c>
      <c r="K99" s="148" t="s">
        <v>948</v>
      </c>
    </row>
    <row r="100" spans="6:23" ht="15.75">
      <c r="F100" s="166" t="s">
        <v>882</v>
      </c>
      <c r="G100" s="165" t="s">
        <v>949</v>
      </c>
      <c r="H100" s="165">
        <v>3</v>
      </c>
      <c r="I100" s="165">
        <v>3.8</v>
      </c>
      <c r="J100" s="165">
        <v>4.7</v>
      </c>
      <c r="K100" s="165">
        <v>5.6</v>
      </c>
      <c r="L100" s="161"/>
      <c r="M100" s="161"/>
      <c r="N100" s="161"/>
      <c r="O100" s="161"/>
      <c r="P100" s="161"/>
      <c r="Q100" s="161"/>
      <c r="R100" s="134"/>
      <c r="S100" s="134"/>
    </row>
    <row r="101" spans="6:23" ht="15.75">
      <c r="F101" s="166" t="s">
        <v>882</v>
      </c>
      <c r="G101" s="165" t="s">
        <v>950</v>
      </c>
      <c r="H101" s="165">
        <v>4.8</v>
      </c>
      <c r="I101" s="165">
        <v>5.3</v>
      </c>
      <c r="J101" s="165">
        <v>6.2</v>
      </c>
      <c r="K101" s="165">
        <v>7.1</v>
      </c>
      <c r="L101" s="158"/>
      <c r="M101" s="158"/>
      <c r="N101" s="158"/>
      <c r="O101" s="158"/>
      <c r="P101" s="158"/>
      <c r="Q101" s="159"/>
      <c r="R101" s="134"/>
      <c r="S101" s="134"/>
    </row>
    <row r="102" spans="6:23" ht="15.75">
      <c r="F102" s="174" t="s">
        <v>958</v>
      </c>
      <c r="G102" s="167" t="s">
        <v>951</v>
      </c>
      <c r="H102" s="167">
        <v>6.4</v>
      </c>
      <c r="I102" s="167">
        <v>7.1</v>
      </c>
      <c r="J102" s="167">
        <v>8</v>
      </c>
      <c r="K102" s="167">
        <v>8.9</v>
      </c>
      <c r="L102" s="160"/>
      <c r="M102" s="160"/>
      <c r="N102" s="160"/>
      <c r="O102" s="160"/>
      <c r="P102" s="160"/>
      <c r="Q102" s="160"/>
      <c r="R102" s="134"/>
      <c r="S102" s="134"/>
      <c r="T102" s="134"/>
      <c r="U102" s="134"/>
      <c r="V102" s="134"/>
      <c r="W102" s="134"/>
    </row>
    <row r="103" spans="6:23" ht="15.75">
      <c r="F103" s="163" t="s">
        <v>883</v>
      </c>
      <c r="G103" s="165" t="s">
        <v>952</v>
      </c>
      <c r="H103" s="165">
        <v>7.9</v>
      </c>
      <c r="I103" s="165">
        <v>8.6</v>
      </c>
      <c r="J103" s="165">
        <v>9.5</v>
      </c>
      <c r="K103" s="165">
        <v>10.4</v>
      </c>
      <c r="L103" s="160"/>
      <c r="M103" s="160"/>
      <c r="N103" s="160"/>
      <c r="O103" s="160"/>
      <c r="P103" s="160"/>
      <c r="Q103" s="160"/>
      <c r="R103" s="134"/>
      <c r="S103" s="134"/>
      <c r="T103" s="134"/>
      <c r="U103" s="134"/>
      <c r="V103" s="134"/>
      <c r="W103" s="134"/>
    </row>
    <row r="104" spans="6:23" ht="15.75">
      <c r="F104" s="163" t="s">
        <v>883</v>
      </c>
      <c r="G104" s="165" t="s">
        <v>953</v>
      </c>
      <c r="H104" s="165">
        <v>9.5</v>
      </c>
      <c r="I104" s="165">
        <v>10.4</v>
      </c>
      <c r="J104" s="165">
        <v>11.1</v>
      </c>
      <c r="K104" s="165">
        <v>12.2</v>
      </c>
      <c r="L104" s="160"/>
      <c r="M104" s="160"/>
      <c r="N104" s="160"/>
      <c r="O104" s="160"/>
      <c r="P104" s="160"/>
      <c r="Q104" s="160"/>
      <c r="R104" s="134"/>
      <c r="S104" s="134"/>
      <c r="T104" s="134"/>
      <c r="U104" s="134"/>
      <c r="V104" s="134"/>
      <c r="W104" s="134"/>
    </row>
    <row r="105" spans="6:23" ht="15.75">
      <c r="F105" s="1141" t="s">
        <v>885</v>
      </c>
      <c r="G105" s="164" t="s">
        <v>954</v>
      </c>
      <c r="H105" s="164">
        <v>12.7</v>
      </c>
      <c r="I105" s="164">
        <v>14</v>
      </c>
      <c r="J105" s="164">
        <v>15.5</v>
      </c>
      <c r="K105" s="164">
        <v>17</v>
      </c>
      <c r="L105" s="160"/>
      <c r="M105" s="160"/>
      <c r="N105" s="160"/>
      <c r="O105" s="160"/>
      <c r="P105" s="160"/>
      <c r="Q105" s="160"/>
      <c r="R105" s="134"/>
      <c r="S105" s="134"/>
      <c r="T105" s="134"/>
      <c r="U105" s="134"/>
      <c r="V105" s="134"/>
      <c r="W105" s="134"/>
    </row>
    <row r="106" spans="6:23" ht="15.75">
      <c r="F106" s="1142"/>
      <c r="G106" s="164" t="s">
        <v>955</v>
      </c>
      <c r="H106" s="164">
        <v>19.100000000000001</v>
      </c>
      <c r="I106" s="164">
        <v>20.3</v>
      </c>
      <c r="J106" s="164">
        <v>21.8</v>
      </c>
      <c r="K106" s="164">
        <v>23.3</v>
      </c>
      <c r="L106" s="160"/>
      <c r="M106" s="160"/>
      <c r="N106" s="160"/>
      <c r="O106" s="160"/>
      <c r="P106" s="160"/>
      <c r="Q106" s="160"/>
      <c r="R106" s="134"/>
      <c r="S106" s="134"/>
      <c r="T106" s="134"/>
      <c r="U106" s="134"/>
      <c r="V106" s="134"/>
      <c r="W106" s="134"/>
    </row>
    <row r="107" spans="6:23" ht="15.75">
      <c r="F107" s="1143"/>
      <c r="G107" s="164" t="s">
        <v>957</v>
      </c>
      <c r="H107" s="164">
        <v>25.4</v>
      </c>
      <c r="I107" s="164">
        <v>26.7</v>
      </c>
      <c r="J107" s="164">
        <v>28.2</v>
      </c>
      <c r="K107" s="164">
        <v>29.7</v>
      </c>
      <c r="L107" s="160"/>
      <c r="M107" s="160"/>
      <c r="N107" s="160"/>
      <c r="O107" s="160"/>
      <c r="P107" s="160"/>
      <c r="Q107" s="160"/>
      <c r="R107" s="134"/>
      <c r="S107" s="134"/>
      <c r="T107" s="134"/>
      <c r="U107" s="134"/>
      <c r="V107" s="134"/>
      <c r="W107" s="134"/>
    </row>
    <row r="108" spans="6:23" ht="15.75">
      <c r="F108" s="1176" t="s">
        <v>886</v>
      </c>
      <c r="G108" s="165" t="s">
        <v>955</v>
      </c>
      <c r="H108" s="165">
        <v>19.100000000000001</v>
      </c>
      <c r="I108" s="165">
        <v>20.3</v>
      </c>
      <c r="J108" s="165">
        <v>22.6</v>
      </c>
      <c r="K108" s="165">
        <v>24.8</v>
      </c>
      <c r="L108" s="160"/>
      <c r="M108" s="160"/>
      <c r="N108" s="160"/>
      <c r="O108" s="160"/>
      <c r="P108" s="160"/>
      <c r="Q108" s="160"/>
      <c r="R108" s="134"/>
      <c r="S108" s="134"/>
      <c r="T108" s="134"/>
      <c r="U108" s="134"/>
      <c r="V108" s="134"/>
      <c r="W108" s="134"/>
    </row>
    <row r="109" spans="6:23" ht="15.75">
      <c r="F109" s="1177"/>
      <c r="G109" s="165" t="s">
        <v>957</v>
      </c>
      <c r="H109" s="165">
        <v>25.4</v>
      </c>
      <c r="I109" s="165">
        <v>26.7</v>
      </c>
      <c r="J109" s="165">
        <v>29</v>
      </c>
      <c r="K109" s="165">
        <v>31.2</v>
      </c>
      <c r="L109" s="160"/>
      <c r="M109" s="160"/>
      <c r="N109" s="160"/>
      <c r="O109" s="160"/>
      <c r="P109" s="160"/>
      <c r="Q109" s="160"/>
      <c r="R109" s="134"/>
      <c r="S109" s="134"/>
      <c r="T109" s="134"/>
      <c r="U109" s="134"/>
      <c r="V109" s="134"/>
      <c r="W109" s="134"/>
    </row>
    <row r="110" spans="6:23" ht="15.75">
      <c r="F110" s="1177"/>
      <c r="G110" s="165">
        <v>150</v>
      </c>
      <c r="H110" s="165">
        <v>38.200000000000003</v>
      </c>
      <c r="I110" s="165">
        <v>39.4</v>
      </c>
      <c r="J110" s="165">
        <v>41.7</v>
      </c>
      <c r="K110" s="165">
        <v>43.9</v>
      </c>
      <c r="L110" s="160"/>
      <c r="M110" s="160"/>
      <c r="N110" s="160"/>
      <c r="O110" s="160"/>
      <c r="P110" s="160"/>
      <c r="Q110" s="160"/>
      <c r="R110" s="134"/>
      <c r="S110" s="134"/>
      <c r="T110" s="134"/>
      <c r="U110" s="134"/>
      <c r="V110" s="134"/>
      <c r="W110" s="134"/>
    </row>
    <row r="111" spans="6:23" ht="15.75">
      <c r="F111" s="1177"/>
      <c r="G111" s="165">
        <v>200</v>
      </c>
      <c r="H111" s="165">
        <v>50.8</v>
      </c>
      <c r="I111" s="165">
        <v>52.8</v>
      </c>
      <c r="J111" s="165">
        <v>55.1</v>
      </c>
      <c r="K111" s="165">
        <v>57.3</v>
      </c>
      <c r="L111" s="160"/>
      <c r="M111" s="160"/>
      <c r="N111" s="160"/>
      <c r="O111" s="160"/>
      <c r="P111" s="160"/>
      <c r="Q111" s="160"/>
      <c r="R111" s="134"/>
      <c r="S111" s="134"/>
      <c r="T111" s="134"/>
      <c r="U111" s="134"/>
      <c r="V111" s="134"/>
      <c r="W111" s="134"/>
    </row>
    <row r="112" spans="6:23" ht="15.75">
      <c r="F112" s="1178"/>
      <c r="G112" s="165">
        <v>300</v>
      </c>
      <c r="H112" s="165">
        <v>76.2</v>
      </c>
      <c r="I112" s="165">
        <v>79</v>
      </c>
      <c r="J112" s="165">
        <v>81.3</v>
      </c>
      <c r="K112" s="165">
        <v>83.5</v>
      </c>
      <c r="L112" s="160"/>
      <c r="M112" s="160"/>
      <c r="N112" s="160"/>
      <c r="O112" s="160"/>
      <c r="P112" s="160"/>
      <c r="Q112" s="160"/>
      <c r="R112" s="134"/>
      <c r="S112" s="134"/>
      <c r="T112" s="134"/>
      <c r="U112" s="134"/>
      <c r="V112" s="134"/>
      <c r="W112" s="134"/>
    </row>
    <row r="113" spans="6:23" ht="15.75">
      <c r="F113" s="1141" t="s">
        <v>959</v>
      </c>
      <c r="G113" s="164">
        <v>200</v>
      </c>
      <c r="H113" s="164">
        <v>50.8</v>
      </c>
      <c r="I113" s="164">
        <v>56.6</v>
      </c>
      <c r="J113" s="164">
        <v>59.6</v>
      </c>
      <c r="K113" s="164">
        <v>62.6</v>
      </c>
      <c r="L113" s="160"/>
      <c r="M113" s="160"/>
      <c r="N113" s="160"/>
      <c r="O113" s="160"/>
      <c r="P113" s="160"/>
      <c r="Q113" s="160"/>
      <c r="R113" s="134"/>
      <c r="S113" s="134"/>
      <c r="T113" s="134"/>
      <c r="U113" s="134"/>
      <c r="V113" s="134"/>
      <c r="W113" s="134"/>
    </row>
    <row r="114" spans="6:23" ht="15.75">
      <c r="F114" s="1142"/>
      <c r="G114" s="164">
        <v>300</v>
      </c>
      <c r="H114" s="164">
        <v>76.2</v>
      </c>
      <c r="I114" s="164">
        <v>83.8</v>
      </c>
      <c r="J114" s="164">
        <v>86.9</v>
      </c>
      <c r="K114" s="164">
        <v>89.8</v>
      </c>
      <c r="L114" s="160"/>
      <c r="M114" s="160"/>
      <c r="N114" s="160"/>
      <c r="O114" s="160"/>
      <c r="P114" s="160"/>
      <c r="Q114" s="160"/>
      <c r="R114" s="134"/>
      <c r="S114" s="134"/>
      <c r="T114" s="134"/>
      <c r="U114" s="134"/>
      <c r="V114" s="134"/>
      <c r="W114" s="134"/>
    </row>
    <row r="115" spans="6:23" ht="15.75">
      <c r="F115" s="1143"/>
      <c r="G115" s="164">
        <v>400</v>
      </c>
      <c r="H115" s="164">
        <v>101.6</v>
      </c>
      <c r="I115" s="164">
        <v>110.7</v>
      </c>
      <c r="J115" s="164">
        <v>113.7</v>
      </c>
      <c r="K115" s="164">
        <v>116.7</v>
      </c>
      <c r="L115" s="160"/>
      <c r="M115" s="160"/>
      <c r="N115" s="160"/>
      <c r="O115" s="160"/>
      <c r="P115" s="160"/>
      <c r="Q115" s="160"/>
      <c r="R115" s="134"/>
      <c r="S115" s="134"/>
      <c r="T115" s="134"/>
      <c r="U115" s="134"/>
      <c r="V115" s="134"/>
      <c r="W115" s="134"/>
    </row>
    <row r="116" spans="6:23" ht="15.75">
      <c r="F116" s="1144" t="s">
        <v>889</v>
      </c>
      <c r="G116" s="165">
        <v>200</v>
      </c>
      <c r="H116" s="165">
        <v>50.8</v>
      </c>
      <c r="I116" s="165">
        <v>56.6</v>
      </c>
      <c r="J116" s="165">
        <v>60.4</v>
      </c>
      <c r="K116" s="165">
        <v>64.099999999999994</v>
      </c>
      <c r="L116" s="160"/>
      <c r="M116" s="160"/>
      <c r="N116" s="160"/>
      <c r="O116" s="160"/>
      <c r="P116" s="160"/>
      <c r="Q116" s="160"/>
      <c r="R116" s="134"/>
      <c r="S116" s="134"/>
      <c r="T116" s="134"/>
      <c r="U116" s="134"/>
      <c r="V116" s="134"/>
      <c r="W116" s="134"/>
    </row>
    <row r="117" spans="6:23" ht="15.75">
      <c r="F117" s="1145"/>
      <c r="G117" s="165" t="s">
        <v>956</v>
      </c>
      <c r="H117" s="165">
        <v>76.2</v>
      </c>
      <c r="I117" s="165">
        <v>83.8</v>
      </c>
      <c r="J117" s="165">
        <v>87.3</v>
      </c>
      <c r="K117" s="165">
        <v>91.3</v>
      </c>
      <c r="L117" s="160"/>
      <c r="M117" s="160"/>
      <c r="N117" s="160"/>
      <c r="O117" s="160"/>
      <c r="P117" s="160"/>
      <c r="Q117" s="160"/>
      <c r="R117" s="134"/>
      <c r="S117" s="134"/>
      <c r="T117" s="134"/>
      <c r="U117" s="134"/>
      <c r="V117" s="134"/>
      <c r="W117" s="134"/>
    </row>
    <row r="118" spans="6:23" ht="15.75">
      <c r="F118" s="1145"/>
      <c r="G118" s="165">
        <v>201</v>
      </c>
      <c r="H118" s="165">
        <v>101.6</v>
      </c>
      <c r="I118" s="165">
        <v>110.7</v>
      </c>
      <c r="J118" s="165">
        <v>114.5</v>
      </c>
      <c r="K118" s="165">
        <v>118.2</v>
      </c>
      <c r="L118" s="160"/>
      <c r="M118" s="160"/>
      <c r="N118" s="160"/>
      <c r="O118" s="160"/>
      <c r="P118" s="160"/>
      <c r="Q118" s="160"/>
      <c r="R118" s="134"/>
      <c r="S118" s="134"/>
      <c r="T118" s="134"/>
      <c r="U118" s="134"/>
      <c r="V118" s="134"/>
      <c r="W118" s="134"/>
    </row>
    <row r="119" spans="6:23" ht="15.75">
      <c r="F119" s="1146"/>
      <c r="G119" s="165" t="s">
        <v>960</v>
      </c>
      <c r="H119" s="165">
        <v>127</v>
      </c>
      <c r="I119" s="165">
        <v>137.69999999999999</v>
      </c>
      <c r="J119" s="165">
        <v>141.5</v>
      </c>
      <c r="K119" s="165">
        <v>145.19999999999999</v>
      </c>
      <c r="L119" s="160"/>
      <c r="M119" s="160"/>
      <c r="N119" s="160"/>
      <c r="O119" s="160"/>
      <c r="P119" s="160"/>
      <c r="Q119" s="160"/>
      <c r="R119" s="134"/>
      <c r="S119" s="134"/>
      <c r="T119" s="134"/>
      <c r="U119" s="134"/>
      <c r="V119" s="134"/>
      <c r="W119" s="134"/>
    </row>
    <row r="120" spans="6:23" ht="15.75">
      <c r="F120" s="162"/>
      <c r="G120" s="160"/>
      <c r="H120" s="160"/>
      <c r="I120" s="160"/>
      <c r="J120" s="160"/>
      <c r="K120" s="160"/>
      <c r="L120" s="160"/>
      <c r="M120" s="160"/>
      <c r="N120" s="160"/>
      <c r="O120" s="160"/>
      <c r="P120" s="160"/>
      <c r="Q120" s="160"/>
      <c r="R120" s="134"/>
      <c r="S120" s="134"/>
      <c r="T120" s="134"/>
      <c r="U120" s="134"/>
      <c r="V120" s="134"/>
      <c r="W120" s="134"/>
    </row>
    <row r="121" spans="6:23" ht="15.75">
      <c r="F121" s="162"/>
      <c r="G121" s="160"/>
      <c r="H121" s="160"/>
      <c r="I121" s="160"/>
      <c r="J121" s="160"/>
      <c r="K121" s="160"/>
      <c r="L121" s="160"/>
      <c r="M121" s="160"/>
      <c r="N121" s="160"/>
      <c r="O121" s="160"/>
      <c r="P121" s="160"/>
      <c r="Q121" s="160"/>
      <c r="R121" s="134"/>
      <c r="S121" s="134"/>
      <c r="T121" s="134"/>
      <c r="U121" s="134"/>
      <c r="V121" s="134"/>
      <c r="W121" s="134"/>
    </row>
    <row r="122" spans="6:23" ht="17.100000000000001" customHeight="1">
      <c r="F122" s="162"/>
      <c r="G122" s="160"/>
      <c r="H122" s="160"/>
      <c r="I122" s="160"/>
      <c r="J122" s="160"/>
      <c r="K122" s="160"/>
      <c r="L122" s="160"/>
      <c r="M122" s="160"/>
      <c r="N122" s="160"/>
      <c r="O122" s="160"/>
      <c r="P122" s="160"/>
      <c r="Q122" s="160"/>
      <c r="R122" s="134"/>
      <c r="S122" s="134"/>
      <c r="T122" s="134"/>
      <c r="U122" s="134"/>
      <c r="V122" s="134"/>
      <c r="W122" s="134"/>
    </row>
    <row r="123" spans="6:23" ht="15.75">
      <c r="F123" s="162"/>
      <c r="G123" s="160"/>
      <c r="H123" s="160"/>
      <c r="I123" s="160"/>
      <c r="J123" s="160"/>
      <c r="K123" s="160"/>
      <c r="L123" s="160"/>
      <c r="M123" s="160"/>
      <c r="N123" s="160"/>
      <c r="O123" s="160"/>
      <c r="P123" s="160"/>
      <c r="Q123" s="160"/>
      <c r="R123" s="134"/>
      <c r="S123" s="134"/>
      <c r="T123" s="134"/>
      <c r="U123" s="134"/>
      <c r="V123" s="134"/>
      <c r="W123" s="134"/>
    </row>
    <row r="124" spans="6:23" ht="15.75">
      <c r="F124" s="162"/>
      <c r="G124" s="160"/>
      <c r="H124" s="160"/>
      <c r="I124" s="160"/>
      <c r="J124" s="160"/>
      <c r="K124" s="160"/>
      <c r="L124" s="160"/>
      <c r="M124" s="160"/>
      <c r="N124" s="160"/>
      <c r="O124" s="160"/>
      <c r="P124" s="160"/>
      <c r="Q124" s="160"/>
      <c r="R124" s="134"/>
      <c r="S124" s="134"/>
      <c r="T124" s="134"/>
      <c r="U124" s="134"/>
      <c r="V124" s="134"/>
      <c r="W124" s="134"/>
    </row>
    <row r="125" spans="6:23" ht="15.75">
      <c r="F125" s="162"/>
      <c r="G125" s="160"/>
      <c r="H125" s="160"/>
      <c r="I125" s="160"/>
      <c r="J125" s="160"/>
      <c r="K125" s="160"/>
      <c r="L125" s="160"/>
      <c r="M125" s="160"/>
      <c r="N125" s="160"/>
      <c r="O125" s="160"/>
      <c r="P125" s="160"/>
      <c r="Q125" s="160"/>
      <c r="R125" s="134"/>
      <c r="S125" s="134"/>
      <c r="T125" s="134"/>
      <c r="U125" s="134"/>
      <c r="V125" s="134"/>
      <c r="W125" s="134"/>
    </row>
    <row r="126" spans="6:23" ht="17.100000000000001" customHeight="1">
      <c r="F126" s="162"/>
      <c r="G126" s="160"/>
      <c r="H126" s="160"/>
      <c r="I126" s="160"/>
      <c r="J126" s="160"/>
      <c r="K126" s="160"/>
      <c r="L126" s="160"/>
      <c r="M126" s="160"/>
      <c r="N126" s="160"/>
      <c r="O126" s="160"/>
      <c r="P126" s="160"/>
      <c r="Q126" s="160"/>
      <c r="R126" s="134"/>
      <c r="S126" s="134"/>
      <c r="T126" s="134"/>
      <c r="U126" s="134"/>
      <c r="V126" s="134"/>
      <c r="W126" s="134"/>
    </row>
    <row r="127" spans="6:23" ht="17.100000000000001" customHeight="1">
      <c r="F127" s="162"/>
      <c r="G127" s="160"/>
      <c r="H127" s="160"/>
      <c r="I127" s="160"/>
      <c r="J127" s="160"/>
      <c r="K127" s="160"/>
      <c r="L127" s="160"/>
      <c r="M127" s="160"/>
      <c r="N127" s="160"/>
      <c r="O127" s="160"/>
      <c r="P127" s="160"/>
      <c r="Q127" s="160"/>
      <c r="R127" s="134"/>
      <c r="S127" s="134"/>
      <c r="T127" s="134"/>
      <c r="U127" s="134"/>
      <c r="V127" s="134"/>
      <c r="W127" s="134"/>
    </row>
    <row r="128" spans="6:23" ht="17.100000000000001" customHeight="1">
      <c r="F128" s="162"/>
      <c r="G128" s="160"/>
      <c r="H128" s="160"/>
      <c r="I128" s="160"/>
      <c r="J128" s="160"/>
      <c r="K128" s="160"/>
      <c r="L128" s="160"/>
      <c r="M128" s="160"/>
      <c r="N128" s="160"/>
      <c r="O128" s="160"/>
      <c r="P128" s="160"/>
      <c r="Q128" s="160"/>
      <c r="R128" s="134"/>
      <c r="S128" s="134"/>
      <c r="T128" s="134"/>
      <c r="U128" s="134"/>
      <c r="V128" s="134"/>
      <c r="W128" s="134"/>
    </row>
    <row r="129" spans="6:23" ht="17.100000000000001" customHeight="1">
      <c r="F129" s="162"/>
      <c r="G129" s="160"/>
      <c r="H129" s="160"/>
      <c r="I129" s="160"/>
      <c r="J129" s="160"/>
      <c r="K129" s="160"/>
      <c r="L129" s="160"/>
      <c r="M129" s="160"/>
      <c r="N129" s="160"/>
      <c r="O129" s="160"/>
      <c r="P129" s="160"/>
      <c r="Q129" s="160"/>
      <c r="R129" s="134"/>
      <c r="S129" s="134"/>
      <c r="T129" s="134"/>
      <c r="U129" s="134"/>
      <c r="V129" s="134"/>
      <c r="W129" s="134"/>
    </row>
    <row r="130" spans="6:23" ht="17.100000000000001" customHeight="1">
      <c r="F130" s="162"/>
      <c r="G130" s="160"/>
      <c r="H130" s="160"/>
      <c r="I130" s="160"/>
      <c r="J130" s="160"/>
      <c r="K130" s="160"/>
      <c r="L130" s="134"/>
      <c r="M130" s="134"/>
      <c r="N130" s="134"/>
      <c r="O130" s="134"/>
      <c r="P130" s="134"/>
      <c r="Q130" s="134"/>
      <c r="R130" s="134"/>
      <c r="S130" s="134"/>
      <c r="T130" s="134"/>
      <c r="U130" s="134"/>
      <c r="V130" s="134"/>
      <c r="W130" s="134"/>
    </row>
    <row r="131" spans="6:23" ht="17.100000000000001" customHeight="1">
      <c r="F131" s="162"/>
      <c r="G131" s="160"/>
      <c r="H131" s="160"/>
      <c r="I131" s="160"/>
      <c r="J131" s="160"/>
      <c r="K131" s="160"/>
      <c r="L131" s="134"/>
      <c r="M131" s="134"/>
      <c r="N131" s="134"/>
      <c r="O131" s="134"/>
      <c r="P131" s="134"/>
      <c r="Q131" s="134"/>
      <c r="R131" s="134"/>
      <c r="S131" s="134"/>
      <c r="T131" s="154"/>
      <c r="U131" s="154"/>
      <c r="V131" s="154"/>
      <c r="W131" s="154"/>
    </row>
    <row r="132" spans="6:23" ht="17.100000000000001" customHeight="1">
      <c r="F132" s="162"/>
      <c r="G132" s="160"/>
      <c r="H132" s="160"/>
      <c r="I132" s="160"/>
      <c r="J132" s="160"/>
      <c r="K132" s="160"/>
      <c r="L132" s="134"/>
      <c r="M132" s="134"/>
      <c r="N132" s="134"/>
      <c r="O132" s="134"/>
      <c r="P132" s="134"/>
      <c r="Q132" s="134"/>
      <c r="R132" s="134"/>
      <c r="S132" s="134"/>
      <c r="T132" s="154"/>
      <c r="U132" s="154"/>
      <c r="V132" s="154"/>
      <c r="W132" s="154"/>
    </row>
    <row r="133" spans="6:23" ht="17.100000000000001" customHeight="1">
      <c r="F133" s="162"/>
      <c r="G133" s="160"/>
      <c r="H133" s="160"/>
      <c r="I133" s="160"/>
      <c r="J133" s="160"/>
      <c r="K133" s="160"/>
      <c r="L133" s="134"/>
      <c r="M133" s="134"/>
      <c r="N133" s="134"/>
      <c r="O133" s="134"/>
      <c r="P133" s="134"/>
      <c r="Q133" s="134"/>
      <c r="R133" s="134"/>
      <c r="S133" s="134"/>
      <c r="T133" s="156"/>
      <c r="U133" s="156"/>
      <c r="V133" s="156"/>
      <c r="W133" s="156"/>
    </row>
    <row r="134" spans="6:23" ht="17.100000000000001" customHeight="1">
      <c r="F134" s="162"/>
      <c r="G134" s="160"/>
      <c r="H134" s="160"/>
      <c r="I134" s="160"/>
      <c r="J134" s="160"/>
      <c r="K134" s="160"/>
      <c r="L134" s="134"/>
      <c r="M134" s="134"/>
      <c r="N134" s="134"/>
      <c r="O134" s="134"/>
      <c r="P134" s="134"/>
      <c r="Q134" s="134"/>
      <c r="R134" s="134"/>
      <c r="S134" s="134"/>
      <c r="T134" s="156"/>
      <c r="U134" s="156"/>
      <c r="V134" s="156"/>
      <c r="W134" s="156"/>
    </row>
    <row r="135" spans="6:23" ht="17.100000000000001" customHeight="1">
      <c r="F135" s="162"/>
      <c r="G135" s="160"/>
      <c r="H135" s="160"/>
      <c r="I135" s="160"/>
      <c r="J135" s="160"/>
      <c r="K135" s="160"/>
      <c r="L135" s="134"/>
      <c r="M135" s="134"/>
      <c r="N135" s="134"/>
      <c r="O135" s="134"/>
      <c r="P135" s="134"/>
      <c r="Q135" s="134"/>
      <c r="R135" s="134"/>
      <c r="S135" s="134"/>
      <c r="T135" s="156"/>
      <c r="U135" s="156"/>
      <c r="V135" s="156"/>
      <c r="W135" s="156"/>
    </row>
    <row r="136" spans="6:23" ht="17.100000000000001" customHeight="1">
      <c r="F136" s="134"/>
      <c r="G136" s="160"/>
      <c r="H136" s="160"/>
      <c r="I136" s="134"/>
      <c r="J136" s="134"/>
      <c r="K136" s="134"/>
      <c r="L136" s="134"/>
      <c r="M136" s="134"/>
      <c r="N136" s="134"/>
      <c r="O136" s="134"/>
      <c r="P136" s="134"/>
      <c r="Q136" s="134"/>
      <c r="R136" s="134"/>
      <c r="S136" s="134"/>
      <c r="T136" s="156"/>
      <c r="U136" s="156"/>
      <c r="V136" s="156"/>
      <c r="W136" s="156"/>
    </row>
    <row r="137" spans="6:23" ht="17.100000000000001" customHeight="1">
      <c r="F137" s="134"/>
      <c r="G137" s="134"/>
      <c r="H137" s="134"/>
      <c r="I137" s="134"/>
      <c r="J137" s="134"/>
      <c r="K137" s="134"/>
      <c r="L137" s="134"/>
      <c r="M137" s="134"/>
      <c r="N137" s="134"/>
      <c r="O137" s="134"/>
      <c r="P137" s="134"/>
      <c r="Q137" s="134"/>
      <c r="R137" s="134"/>
      <c r="S137" s="134"/>
      <c r="T137" s="156"/>
      <c r="U137" s="156"/>
      <c r="V137" s="156"/>
      <c r="W137" s="156"/>
    </row>
    <row r="138" spans="6:23" ht="17.100000000000001" customHeight="1">
      <c r="F138" s="134"/>
      <c r="G138" s="134"/>
      <c r="H138" s="134"/>
      <c r="I138" s="134"/>
      <c r="J138" s="134"/>
      <c r="K138" s="134"/>
      <c r="L138" s="134"/>
      <c r="M138" s="134"/>
      <c r="N138" s="134"/>
      <c r="O138" s="134"/>
      <c r="P138" s="134"/>
      <c r="Q138" s="134"/>
      <c r="R138" s="134"/>
      <c r="S138" s="134"/>
      <c r="T138" s="156"/>
      <c r="U138" s="156"/>
      <c r="V138" s="156"/>
      <c r="W138" s="156"/>
    </row>
    <row r="139" spans="6:23" ht="17.100000000000001" customHeight="1">
      <c r="F139" s="134"/>
      <c r="G139" s="134"/>
      <c r="H139" s="134"/>
      <c r="I139" s="134"/>
      <c r="J139" s="134"/>
      <c r="K139" s="134"/>
      <c r="L139" s="134"/>
      <c r="M139" s="134"/>
      <c r="N139" s="134"/>
      <c r="O139" s="134"/>
      <c r="P139" s="134"/>
      <c r="Q139" s="134"/>
      <c r="R139" s="134"/>
      <c r="S139" s="134"/>
      <c r="T139" s="156"/>
      <c r="U139" s="156"/>
      <c r="V139" s="156"/>
      <c r="W139" s="156"/>
    </row>
    <row r="140" spans="6:23" ht="17.100000000000001" customHeight="1">
      <c r="F140" s="134"/>
      <c r="G140" s="134"/>
      <c r="H140" s="134"/>
      <c r="I140" s="134"/>
      <c r="J140" s="134"/>
      <c r="K140" s="134"/>
      <c r="L140" s="134"/>
      <c r="M140" s="134"/>
      <c r="N140" s="134"/>
      <c r="O140" s="134"/>
      <c r="P140" s="134"/>
      <c r="Q140" s="134"/>
      <c r="R140" s="134"/>
      <c r="S140" s="134"/>
      <c r="T140" s="156"/>
      <c r="U140" s="156"/>
      <c r="V140" s="156"/>
      <c r="W140" s="156"/>
    </row>
    <row r="141" spans="6:23" ht="17.100000000000001" customHeight="1">
      <c r="F141" s="134"/>
      <c r="G141" s="134"/>
      <c r="H141" s="134"/>
      <c r="I141" s="134"/>
      <c r="J141" s="134"/>
      <c r="K141" s="134"/>
      <c r="L141" s="134"/>
      <c r="M141" s="134"/>
      <c r="N141" s="134"/>
      <c r="O141" s="134"/>
      <c r="P141" s="134"/>
      <c r="Q141" s="134"/>
      <c r="R141" s="134"/>
      <c r="S141" s="134"/>
      <c r="T141" s="156"/>
      <c r="U141" s="156"/>
      <c r="V141" s="156"/>
      <c r="W141" s="156"/>
    </row>
    <row r="142" spans="6:23" ht="17.100000000000001" customHeight="1">
      <c r="F142" s="134"/>
      <c r="G142" s="134"/>
      <c r="H142" s="134"/>
      <c r="I142" s="134"/>
      <c r="J142" s="134"/>
      <c r="K142" s="134"/>
      <c r="L142" s="134"/>
      <c r="M142" s="134"/>
      <c r="N142" s="134"/>
      <c r="O142" s="134"/>
      <c r="P142" s="134"/>
      <c r="Q142" s="134"/>
      <c r="R142" s="134"/>
      <c r="S142" s="134"/>
      <c r="T142" s="156"/>
      <c r="U142" s="156"/>
      <c r="V142" s="156"/>
      <c r="W142" s="156"/>
    </row>
    <row r="143" spans="6:23" ht="17.100000000000001" customHeight="1">
      <c r="F143" s="134"/>
      <c r="G143" s="134"/>
      <c r="H143" s="134"/>
      <c r="I143" s="134"/>
      <c r="J143" s="134"/>
      <c r="K143" s="134"/>
      <c r="L143" s="134"/>
      <c r="M143" s="134"/>
      <c r="N143" s="134"/>
      <c r="O143" s="134"/>
      <c r="P143" s="134"/>
      <c r="Q143" s="134"/>
      <c r="R143" s="134"/>
      <c r="S143" s="134"/>
      <c r="T143" s="156"/>
      <c r="U143" s="156"/>
      <c r="V143" s="156"/>
      <c r="W143" s="156"/>
    </row>
    <row r="144" spans="6:23" ht="17.100000000000001" customHeight="1">
      <c r="F144" s="134"/>
      <c r="G144" s="134"/>
      <c r="H144" s="134"/>
      <c r="I144" s="134"/>
      <c r="J144" s="134"/>
      <c r="K144" s="134"/>
      <c r="T144" s="156"/>
      <c r="U144" s="156"/>
      <c r="V144" s="156"/>
      <c r="W144" s="156"/>
    </row>
    <row r="145" spans="6:23" ht="17.100000000000001" customHeight="1">
      <c r="F145" s="134"/>
      <c r="G145" s="134"/>
      <c r="H145" s="134"/>
      <c r="I145" s="134"/>
      <c r="J145" s="134"/>
      <c r="K145" s="134"/>
      <c r="T145" s="156"/>
      <c r="U145" s="156"/>
      <c r="V145" s="156"/>
      <c r="W145" s="156"/>
    </row>
    <row r="146" spans="6:23" ht="17.100000000000001" customHeight="1">
      <c r="F146" s="134"/>
      <c r="G146" s="134"/>
      <c r="H146" s="134"/>
      <c r="I146" s="134"/>
      <c r="J146" s="134"/>
      <c r="K146" s="134"/>
      <c r="T146" s="156"/>
      <c r="U146" s="156"/>
      <c r="V146" s="156"/>
      <c r="W146" s="156"/>
    </row>
    <row r="147" spans="6:23" ht="17.100000000000001" customHeight="1">
      <c r="F147" s="134"/>
      <c r="G147" s="134"/>
      <c r="H147" s="134"/>
      <c r="I147" s="134"/>
      <c r="J147" s="134"/>
      <c r="K147" s="134"/>
      <c r="T147" s="156"/>
      <c r="U147" s="156"/>
      <c r="V147" s="156"/>
      <c r="W147" s="156"/>
    </row>
    <row r="148" spans="6:23" ht="17.100000000000001" customHeight="1">
      <c r="F148" s="134"/>
      <c r="G148" s="134"/>
      <c r="H148" s="134"/>
      <c r="I148" s="134"/>
      <c r="J148" s="134"/>
      <c r="K148" s="134"/>
      <c r="T148" s="156"/>
      <c r="U148" s="156"/>
      <c r="V148" s="156"/>
      <c r="W148" s="156"/>
    </row>
    <row r="149" spans="6:23" ht="17.100000000000001" customHeight="1">
      <c r="F149" s="134"/>
      <c r="G149" s="134"/>
      <c r="H149" s="134"/>
      <c r="I149" s="134"/>
      <c r="J149" s="134"/>
      <c r="K149" s="134"/>
      <c r="T149" s="156"/>
      <c r="U149" s="156"/>
      <c r="V149" s="156"/>
      <c r="W149" s="156"/>
    </row>
    <row r="150" spans="6:23" ht="17.100000000000001" customHeight="1">
      <c r="G150" s="134"/>
      <c r="H150" s="134"/>
      <c r="T150" s="156"/>
      <c r="U150" s="156"/>
      <c r="V150" s="156"/>
      <c r="W150" s="156"/>
    </row>
    <row r="151" spans="6:23" ht="17.100000000000001" customHeight="1">
      <c r="T151" s="156"/>
      <c r="U151" s="156"/>
      <c r="V151" s="156"/>
      <c r="W151" s="156"/>
    </row>
    <row r="152" spans="6:23" ht="17.100000000000001" customHeight="1">
      <c r="T152" s="156"/>
      <c r="U152" s="156"/>
      <c r="V152" s="156"/>
      <c r="W152" s="156"/>
    </row>
    <row r="153" spans="6:23" ht="17.100000000000001" customHeight="1">
      <c r="T153" s="156"/>
      <c r="U153" s="156"/>
      <c r="V153" s="156"/>
      <c r="W153" s="156"/>
    </row>
    <row r="154" spans="6:23" ht="17.100000000000001" customHeight="1">
      <c r="T154" s="156"/>
      <c r="U154" s="156"/>
      <c r="V154" s="156"/>
      <c r="W154" s="156"/>
    </row>
    <row r="155" spans="6:23" ht="17.100000000000001" customHeight="1">
      <c r="T155" s="156"/>
      <c r="U155" s="156"/>
      <c r="V155" s="156"/>
      <c r="W155" s="156"/>
    </row>
    <row r="156" spans="6:23" ht="17.100000000000001" customHeight="1">
      <c r="T156" s="156"/>
      <c r="U156" s="156"/>
      <c r="V156" s="156"/>
      <c r="W156" s="156"/>
    </row>
    <row r="157" spans="6:23" ht="17.100000000000001" customHeight="1">
      <c r="T157" s="156"/>
      <c r="U157" s="156"/>
      <c r="V157" s="156"/>
      <c r="W157" s="156"/>
    </row>
    <row r="158" spans="6:23" ht="17.100000000000001" customHeight="1">
      <c r="T158" s="156"/>
      <c r="U158" s="156"/>
      <c r="V158" s="156"/>
      <c r="W158" s="156"/>
    </row>
    <row r="159" spans="6:23" ht="17.100000000000001" customHeight="1">
      <c r="T159" s="156"/>
      <c r="U159" s="156"/>
      <c r="V159" s="156"/>
      <c r="W159" s="156"/>
    </row>
    <row r="160" spans="6:23" ht="17.100000000000001" customHeight="1">
      <c r="T160" s="156"/>
      <c r="U160" s="156"/>
      <c r="V160" s="156"/>
      <c r="W160" s="156"/>
    </row>
    <row r="161" spans="20:23" ht="17.100000000000001" customHeight="1">
      <c r="T161" s="156"/>
      <c r="U161" s="156"/>
      <c r="V161" s="156"/>
      <c r="W161" s="156"/>
    </row>
    <row r="162" spans="20:23" ht="17.100000000000001" customHeight="1">
      <c r="T162" s="156"/>
      <c r="U162" s="156"/>
      <c r="V162" s="156"/>
      <c r="W162" s="156"/>
    </row>
    <row r="163" spans="20:23" ht="17.100000000000001" customHeight="1">
      <c r="T163" s="134"/>
      <c r="U163" s="134"/>
      <c r="V163" s="134"/>
      <c r="W163" s="134"/>
    </row>
  </sheetData>
  <sheetProtection password="828E" sheet="1" objects="1" scenarios="1"/>
  <mergeCells count="99">
    <mergeCell ref="I98:K98"/>
    <mergeCell ref="F105:F107"/>
    <mergeCell ref="F108:F112"/>
    <mergeCell ref="O28:Q28"/>
    <mergeCell ref="R28:S28"/>
    <mergeCell ref="F44:G45"/>
    <mergeCell ref="T28:U28"/>
    <mergeCell ref="A4:A7"/>
    <mergeCell ref="A55:D61"/>
    <mergeCell ref="D21:D22"/>
    <mergeCell ref="A20:A22"/>
    <mergeCell ref="F46:G46"/>
    <mergeCell ref="F47:G47"/>
    <mergeCell ref="F48:G48"/>
    <mergeCell ref="F49:G49"/>
    <mergeCell ref="F50:G50"/>
    <mergeCell ref="H44:N44"/>
    <mergeCell ref="L22:L23"/>
    <mergeCell ref="M22:M23"/>
    <mergeCell ref="N22:N23"/>
    <mergeCell ref="O22:O23"/>
    <mergeCell ref="A10:A11"/>
    <mergeCell ref="D15:D16"/>
    <mergeCell ref="A12:A16"/>
    <mergeCell ref="A17:A19"/>
    <mergeCell ref="L18:L19"/>
    <mergeCell ref="M18:M19"/>
    <mergeCell ref="L14:L15"/>
    <mergeCell ref="M14:M15"/>
    <mergeCell ref="F14:I15"/>
    <mergeCell ref="F18:I19"/>
    <mergeCell ref="N18:N19"/>
    <mergeCell ref="O18:O19"/>
    <mergeCell ref="J20:J21"/>
    <mergeCell ref="K20:K21"/>
    <mergeCell ref="L20:L21"/>
    <mergeCell ref="M20:M21"/>
    <mergeCell ref="N20:N21"/>
    <mergeCell ref="O20:O21"/>
    <mergeCell ref="J18:J19"/>
    <mergeCell ref="K18:K19"/>
    <mergeCell ref="N14:N15"/>
    <mergeCell ref="O14:O15"/>
    <mergeCell ref="J16:J17"/>
    <mergeCell ref="K16:K17"/>
    <mergeCell ref="L16:L17"/>
    <mergeCell ref="M16:M17"/>
    <mergeCell ref="N16:N17"/>
    <mergeCell ref="O16:O17"/>
    <mergeCell ref="J14:J15"/>
    <mergeCell ref="K14:K15"/>
    <mergeCell ref="J22:J23"/>
    <mergeCell ref="K22:K23"/>
    <mergeCell ref="F8:I9"/>
    <mergeCell ref="F10:I11"/>
    <mergeCell ref="F12:I13"/>
    <mergeCell ref="F20:I21"/>
    <mergeCell ref="F22:I23"/>
    <mergeCell ref="F16:I17"/>
    <mergeCell ref="F113:F115"/>
    <mergeCell ref="F116:F119"/>
    <mergeCell ref="F98:F99"/>
    <mergeCell ref="G98:H98"/>
    <mergeCell ref="A23:A24"/>
    <mergeCell ref="A25:A30"/>
    <mergeCell ref="A33:D54"/>
    <mergeCell ref="O10:O11"/>
    <mergeCell ref="J12:J13"/>
    <mergeCell ref="K12:K13"/>
    <mergeCell ref="L12:L13"/>
    <mergeCell ref="M12:M13"/>
    <mergeCell ref="N12:N13"/>
    <mergeCell ref="O12:O13"/>
    <mergeCell ref="J10:J11"/>
    <mergeCell ref="K10:K11"/>
    <mergeCell ref="L10:L11"/>
    <mergeCell ref="M10:M11"/>
    <mergeCell ref="N10:N11"/>
    <mergeCell ref="A8:A9"/>
    <mergeCell ref="J8:J9"/>
    <mergeCell ref="K8:K9"/>
    <mergeCell ref="L8:L9"/>
    <mergeCell ref="A1:D1"/>
    <mergeCell ref="J3:O3"/>
    <mergeCell ref="K6:K7"/>
    <mergeCell ref="L6:L7"/>
    <mergeCell ref="M6:M7"/>
    <mergeCell ref="N6:N7"/>
    <mergeCell ref="O6:O7"/>
    <mergeCell ref="M8:M9"/>
    <mergeCell ref="N8:N9"/>
    <mergeCell ref="O8:O9"/>
    <mergeCell ref="F3:I5"/>
    <mergeCell ref="F6:I7"/>
    <mergeCell ref="P3:U3"/>
    <mergeCell ref="J4:L4"/>
    <mergeCell ref="M4:O4"/>
    <mergeCell ref="P4:U4"/>
    <mergeCell ref="J6:J7"/>
  </mergeCells>
  <phoneticPr fontId="4" type="noConversion"/>
  <dataValidations count="1">
    <dataValidation type="list" allowBlank="1" showInputMessage="1" showErrorMessage="1" prompt="请选择" sqref="C10">
      <formula1>$AA$2:$AA$8</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sheetPr codeName="Sheet16"/>
  <dimension ref="A1:Q54"/>
  <sheetViews>
    <sheetView workbookViewId="0">
      <selection activeCell="E13" sqref="E13"/>
    </sheetView>
  </sheetViews>
  <sheetFormatPr defaultColWidth="15.625" defaultRowHeight="17.100000000000001" customHeight="1"/>
  <cols>
    <col min="1" max="1" width="15.625" style="261"/>
    <col min="2" max="2" width="20.5" style="261" customWidth="1"/>
    <col min="3" max="3" width="15.625" style="311"/>
    <col min="4" max="4" width="19.625" style="261" customWidth="1"/>
    <col min="5" max="5" width="5.625" style="261" customWidth="1"/>
    <col min="6" max="23" width="8.625" style="261" customWidth="1"/>
    <col min="24" max="16384" width="15.625" style="261"/>
  </cols>
  <sheetData>
    <row r="1" spans="1:17" ht="21.95" customHeight="1">
      <c r="A1" s="775" t="s">
        <v>830</v>
      </c>
      <c r="B1" s="776"/>
      <c r="C1" s="776"/>
      <c r="D1" s="776"/>
    </row>
    <row r="2" spans="1:17" ht="17.100000000000001" customHeight="1">
      <c r="A2" s="266" t="s">
        <v>753</v>
      </c>
      <c r="B2" s="266" t="s">
        <v>754</v>
      </c>
      <c r="C2" s="267" t="s">
        <v>755</v>
      </c>
      <c r="D2" s="266" t="s">
        <v>762</v>
      </c>
      <c r="F2" s="261" t="s">
        <v>835</v>
      </c>
    </row>
    <row r="3" spans="1:17" ht="17.100000000000001" customHeight="1">
      <c r="A3" s="1059" t="s">
        <v>756</v>
      </c>
      <c r="B3" s="266" t="s">
        <v>850</v>
      </c>
      <c r="C3" s="326">
        <v>200</v>
      </c>
      <c r="D3" s="266"/>
      <c r="Q3" s="333" t="s">
        <v>833</v>
      </c>
    </row>
    <row r="4" spans="1:17" ht="17.100000000000001" customHeight="1">
      <c r="A4" s="1060"/>
      <c r="B4" s="266" t="s">
        <v>831</v>
      </c>
      <c r="C4" s="326">
        <v>100</v>
      </c>
      <c r="D4" s="266"/>
      <c r="Q4" s="333" t="s">
        <v>834</v>
      </c>
    </row>
    <row r="5" spans="1:17" ht="17.100000000000001" customHeight="1">
      <c r="A5" s="1060"/>
      <c r="B5" s="266" t="s">
        <v>851</v>
      </c>
      <c r="C5" s="326"/>
      <c r="D5" s="144">
        <f>IF(OR(C5="",C5=0),60*C3/(PI()*C4),C5)</f>
        <v>38.197186342054877</v>
      </c>
    </row>
    <row r="6" spans="1:17" ht="17.100000000000001" customHeight="1">
      <c r="A6" s="1060"/>
      <c r="B6" s="266" t="s">
        <v>852</v>
      </c>
      <c r="C6" s="337" t="s">
        <v>832</v>
      </c>
      <c r="D6" s="334">
        <f>IF(C6=Q3,0.05,0.3)</f>
        <v>0.05</v>
      </c>
    </row>
    <row r="7" spans="1:17" ht="17.100000000000001" customHeight="1">
      <c r="A7" s="1060"/>
      <c r="B7" s="266" t="s">
        <v>838</v>
      </c>
      <c r="C7" s="326">
        <v>4</v>
      </c>
      <c r="D7" s="266"/>
    </row>
    <row r="8" spans="1:17" ht="17.100000000000001" customHeight="1">
      <c r="A8" s="1060"/>
      <c r="B8" s="266" t="s">
        <v>839</v>
      </c>
      <c r="C8" s="326">
        <v>7</v>
      </c>
      <c r="D8" s="266"/>
    </row>
    <row r="9" spans="1:17" ht="17.100000000000001" customHeight="1">
      <c r="A9" s="1060"/>
      <c r="B9" s="266" t="s">
        <v>2143</v>
      </c>
      <c r="C9" s="326">
        <f>2*2</f>
        <v>4</v>
      </c>
      <c r="D9" s="266"/>
    </row>
    <row r="10" spans="1:17" ht="17.100000000000001" customHeight="1">
      <c r="A10" s="1060"/>
      <c r="B10" s="266" t="s">
        <v>840</v>
      </c>
      <c r="C10" s="326">
        <v>20</v>
      </c>
      <c r="D10" s="266" t="s">
        <v>971</v>
      </c>
    </row>
    <row r="11" spans="1:17" ht="17.100000000000001" customHeight="1">
      <c r="A11" s="1060"/>
      <c r="B11" s="266" t="s">
        <v>841</v>
      </c>
      <c r="C11" s="326">
        <v>20</v>
      </c>
      <c r="D11" s="266" t="s">
        <v>842</v>
      </c>
    </row>
    <row r="12" spans="1:17" ht="17.100000000000001" customHeight="1">
      <c r="A12" s="1061"/>
      <c r="B12" s="266" t="s">
        <v>843</v>
      </c>
      <c r="C12" s="326">
        <v>0</v>
      </c>
      <c r="D12" s="266" t="s">
        <v>844</v>
      </c>
    </row>
    <row r="13" spans="1:17" ht="17.100000000000001" customHeight="1">
      <c r="A13" s="1186" t="s">
        <v>2133</v>
      </c>
      <c r="B13" s="266" t="s">
        <v>2135</v>
      </c>
      <c r="C13" s="287">
        <f>D6*(C7+C8+C9+0.05*C12)+C7*SIN(RADIANS(C10))+0.3*C11</f>
        <v>8.1180805733026737</v>
      </c>
      <c r="D13" s="282" t="s">
        <v>845</v>
      </c>
    </row>
    <row r="14" spans="1:17" ht="17.100000000000001" customHeight="1">
      <c r="A14" s="1187"/>
      <c r="B14" s="266" t="s">
        <v>2136</v>
      </c>
      <c r="C14" s="287">
        <f>C13*9.8</f>
        <v>79.557189618366209</v>
      </c>
      <c r="D14" s="282" t="s">
        <v>2140</v>
      </c>
    </row>
    <row r="15" spans="1:17" ht="17.100000000000001" customHeight="1">
      <c r="A15" s="1187"/>
      <c r="B15" s="266" t="s">
        <v>2142</v>
      </c>
      <c r="C15" s="551">
        <v>1.25</v>
      </c>
      <c r="D15" s="282"/>
    </row>
    <row r="16" spans="1:17" ht="17.100000000000001" customHeight="1">
      <c r="A16" s="1187"/>
      <c r="B16" s="266" t="s">
        <v>2139</v>
      </c>
      <c r="C16" s="287">
        <f>1.25*C14</f>
        <v>99.446487022957768</v>
      </c>
      <c r="D16" s="266" t="s">
        <v>846</v>
      </c>
    </row>
    <row r="17" spans="1:6" ht="17.100000000000001" customHeight="1">
      <c r="A17" s="1188"/>
      <c r="B17" s="266" t="s">
        <v>1149</v>
      </c>
      <c r="C17" s="336">
        <f>C16*C4/2/1000</f>
        <v>4.972324351147889</v>
      </c>
      <c r="D17" s="282" t="s">
        <v>847</v>
      </c>
      <c r="F17" s="261" t="s">
        <v>836</v>
      </c>
    </row>
    <row r="18" spans="1:6" ht="17.100000000000001" customHeight="1">
      <c r="A18" s="1186" t="s">
        <v>2134</v>
      </c>
      <c r="B18" s="266" t="s">
        <v>2136</v>
      </c>
      <c r="C18" s="551">
        <f>(C7+C8)*9.8*(D6*COS(RADIANS(C10))+SIN(RADIANS(C10)))</f>
        <v>41.934714676543145</v>
      </c>
      <c r="D18" s="282" t="s">
        <v>2154</v>
      </c>
    </row>
    <row r="19" spans="1:6" ht="17.100000000000001" customHeight="1">
      <c r="A19" s="1187"/>
      <c r="B19" s="266" t="s">
        <v>2141</v>
      </c>
      <c r="C19" s="552">
        <v>2</v>
      </c>
      <c r="D19" s="282"/>
    </row>
    <row r="20" spans="1:6" ht="17.100000000000001" customHeight="1">
      <c r="A20" s="1187"/>
      <c r="B20" s="266" t="s">
        <v>2137</v>
      </c>
      <c r="C20" s="551">
        <f>C19*C18</f>
        <v>83.869429353086289</v>
      </c>
      <c r="D20" s="282" t="s">
        <v>2138</v>
      </c>
    </row>
    <row r="21" spans="1:6" ht="17.100000000000001" customHeight="1">
      <c r="A21" s="1188"/>
      <c r="B21" s="266" t="s">
        <v>2144</v>
      </c>
      <c r="C21" s="336">
        <f>C20*C4/2/1000</f>
        <v>4.1934714676543141</v>
      </c>
      <c r="D21" s="282"/>
    </row>
    <row r="22" spans="1:6" ht="17.100000000000001" customHeight="1">
      <c r="A22" s="1084" t="s">
        <v>848</v>
      </c>
      <c r="B22" s="1180" t="s">
        <v>849</v>
      </c>
      <c r="C22" s="1181"/>
      <c r="D22" s="1182"/>
    </row>
    <row r="23" spans="1:6" ht="17.100000000000001" customHeight="1">
      <c r="A23" s="1084"/>
      <c r="B23" s="1183"/>
      <c r="C23" s="1184"/>
      <c r="D23" s="1185"/>
    </row>
    <row r="24" spans="1:6" ht="17.100000000000001" customHeight="1" thickBot="1">
      <c r="A24" s="301"/>
      <c r="B24" s="301"/>
      <c r="C24" s="302"/>
      <c r="D24" s="301"/>
    </row>
    <row r="25" spans="1:6" ht="17.100000000000001" customHeight="1">
      <c r="A25" s="1028" t="s">
        <v>2153</v>
      </c>
      <c r="B25" s="1029"/>
      <c r="C25" s="1029"/>
      <c r="D25" s="1030"/>
    </row>
    <row r="26" spans="1:6" ht="17.100000000000001" customHeight="1">
      <c r="A26" s="1031"/>
      <c r="B26" s="1032"/>
      <c r="C26" s="1032"/>
      <c r="D26" s="1033"/>
    </row>
    <row r="27" spans="1:6" ht="17.100000000000001" customHeight="1">
      <c r="A27" s="1031"/>
      <c r="B27" s="1032"/>
      <c r="C27" s="1032"/>
      <c r="D27" s="1033"/>
    </row>
    <row r="28" spans="1:6" ht="17.100000000000001" customHeight="1">
      <c r="A28" s="1031"/>
      <c r="B28" s="1032"/>
      <c r="C28" s="1032"/>
      <c r="D28" s="1033"/>
      <c r="F28" s="261" t="s">
        <v>837</v>
      </c>
    </row>
    <row r="29" spans="1:6" ht="17.100000000000001" customHeight="1">
      <c r="A29" s="1031"/>
      <c r="B29" s="1032"/>
      <c r="C29" s="1032"/>
      <c r="D29" s="1033"/>
    </row>
    <row r="30" spans="1:6" ht="17.100000000000001" customHeight="1">
      <c r="A30" s="1031"/>
      <c r="B30" s="1032"/>
      <c r="C30" s="1032"/>
      <c r="D30" s="1033"/>
    </row>
    <row r="31" spans="1:6" ht="17.100000000000001" customHeight="1">
      <c r="A31" s="1031"/>
      <c r="B31" s="1032"/>
      <c r="C31" s="1032"/>
      <c r="D31" s="1033"/>
    </row>
    <row r="32" spans="1:6" ht="17.100000000000001" customHeight="1">
      <c r="A32" s="1031"/>
      <c r="B32" s="1032"/>
      <c r="C32" s="1032"/>
      <c r="D32" s="1033"/>
    </row>
    <row r="33" spans="1:4" ht="17.100000000000001" customHeight="1">
      <c r="A33" s="1031"/>
      <c r="B33" s="1032"/>
      <c r="C33" s="1032"/>
      <c r="D33" s="1033"/>
    </row>
    <row r="34" spans="1:4" ht="17.100000000000001" customHeight="1">
      <c r="A34" s="1031"/>
      <c r="B34" s="1032"/>
      <c r="C34" s="1032"/>
      <c r="D34" s="1033"/>
    </row>
    <row r="35" spans="1:4" ht="17.100000000000001" customHeight="1" thickBot="1">
      <c r="A35" s="1075"/>
      <c r="B35" s="1076"/>
      <c r="C35" s="1076"/>
      <c r="D35" s="1077"/>
    </row>
    <row r="36" spans="1:4" ht="17.100000000000001" customHeight="1">
      <c r="A36" s="871" t="s">
        <v>855</v>
      </c>
      <c r="B36" s="872"/>
      <c r="C36" s="872"/>
      <c r="D36" s="873"/>
    </row>
    <row r="37" spans="1:4" ht="17.100000000000001" customHeight="1">
      <c r="A37" s="871"/>
      <c r="B37" s="872"/>
      <c r="C37" s="872"/>
      <c r="D37" s="873"/>
    </row>
    <row r="38" spans="1:4" ht="17.100000000000001" customHeight="1">
      <c r="A38" s="871"/>
      <c r="B38" s="872"/>
      <c r="C38" s="872"/>
      <c r="D38" s="873"/>
    </row>
    <row r="39" spans="1:4" ht="17.100000000000001" customHeight="1">
      <c r="A39" s="871"/>
      <c r="B39" s="872"/>
      <c r="C39" s="872"/>
      <c r="D39" s="873"/>
    </row>
    <row r="40" spans="1:4" ht="17.100000000000001" customHeight="1" thickBot="1">
      <c r="A40" s="874"/>
      <c r="B40" s="875"/>
      <c r="C40" s="875"/>
      <c r="D40" s="876"/>
    </row>
    <row r="54" s="261" customFormat="1" ht="16.5" customHeight="1"/>
  </sheetData>
  <sheetProtection password="828E" sheet="1" objects="1" scenarios="1"/>
  <mergeCells count="8">
    <mergeCell ref="A36:D40"/>
    <mergeCell ref="A1:D1"/>
    <mergeCell ref="A22:A23"/>
    <mergeCell ref="B22:D23"/>
    <mergeCell ref="A3:A12"/>
    <mergeCell ref="A18:A21"/>
    <mergeCell ref="A13:A17"/>
    <mergeCell ref="A25:D35"/>
  </mergeCells>
  <phoneticPr fontId="4" type="noConversion"/>
  <dataValidations count="1">
    <dataValidation type="list" allowBlank="1" showInputMessage="1" showErrorMessage="1" prompt="请选择" sqref="C6">
      <formula1>$Q$3:$Q$4</formula1>
    </dataValidation>
  </dataValidations>
  <pageMargins left="0.7" right="0.7" top="0.75" bottom="0.75" header="0.3" footer="0.3"/>
  <drawing r:id="rId1"/>
  <legacyDrawing r:id="rId2"/>
  <oleObjects>
    <oleObject progId="PBrush" shapeId="16386" r:id="rId3"/>
  </oleObjects>
</worksheet>
</file>

<file path=xl/worksheets/sheet12.xml><?xml version="1.0" encoding="utf-8"?>
<worksheet xmlns="http://schemas.openxmlformats.org/spreadsheetml/2006/main" xmlns:r="http://schemas.openxmlformats.org/officeDocument/2006/relationships">
  <sheetPr codeName="Sheet8"/>
  <dimension ref="A1:AG156"/>
  <sheetViews>
    <sheetView workbookViewId="0">
      <selection activeCell="E10" sqref="E10"/>
    </sheetView>
  </sheetViews>
  <sheetFormatPr defaultColWidth="15.625" defaultRowHeight="17.100000000000001" customHeight="1"/>
  <cols>
    <col min="2" max="2" width="20.5" customWidth="1"/>
    <col min="3" max="3" width="15.625" style="119"/>
    <col min="4" max="4" width="17.625" customWidth="1"/>
    <col min="5" max="5" width="7.875" customWidth="1"/>
    <col min="6" max="27" width="8.625" customWidth="1"/>
  </cols>
  <sheetData>
    <row r="1" spans="1:33" ht="21.95" customHeight="1">
      <c r="A1" s="1136" t="s">
        <v>973</v>
      </c>
      <c r="B1" s="1137"/>
      <c r="C1" s="1137"/>
      <c r="D1" s="1137"/>
      <c r="X1" s="191" t="s">
        <v>990</v>
      </c>
    </row>
    <row r="2" spans="1:33" ht="17.100000000000001" customHeight="1">
      <c r="A2" s="122" t="s">
        <v>761</v>
      </c>
      <c r="B2" s="122"/>
      <c r="C2" s="123"/>
      <c r="D2" s="122"/>
      <c r="F2" t="s">
        <v>976</v>
      </c>
      <c r="I2" s="134"/>
      <c r="J2" s="134"/>
      <c r="K2" s="134"/>
      <c r="L2" s="134"/>
      <c r="M2" s="134"/>
      <c r="N2" s="134"/>
      <c r="O2" s="134"/>
      <c r="P2" s="134"/>
      <c r="Q2" s="134"/>
      <c r="R2" s="134"/>
      <c r="X2" s="186" t="s">
        <v>992</v>
      </c>
    </row>
    <row r="3" spans="1:33" ht="17.100000000000001" customHeight="1">
      <c r="A3" s="126" t="s">
        <v>753</v>
      </c>
      <c r="B3" s="126" t="s">
        <v>754</v>
      </c>
      <c r="C3" s="127" t="s">
        <v>755</v>
      </c>
      <c r="D3" s="126" t="s">
        <v>762</v>
      </c>
      <c r="F3" s="126" t="s">
        <v>977</v>
      </c>
      <c r="G3" s="1161" t="s">
        <v>1051</v>
      </c>
      <c r="H3" s="1161"/>
      <c r="I3" s="1161"/>
      <c r="J3" s="1161"/>
      <c r="K3" s="1161"/>
      <c r="L3" s="1161"/>
      <c r="M3" s="134"/>
      <c r="N3" s="134"/>
      <c r="O3" s="134"/>
      <c r="P3" s="134"/>
      <c r="X3" s="186" t="s">
        <v>993</v>
      </c>
      <c r="Y3" s="132"/>
      <c r="Z3" s="132"/>
      <c r="AA3" s="132"/>
      <c r="AB3" s="132"/>
      <c r="AC3" s="132"/>
      <c r="AD3" s="132"/>
      <c r="AE3" s="132"/>
      <c r="AF3" s="132"/>
      <c r="AG3" s="132"/>
    </row>
    <row r="4" spans="1:33" ht="17.100000000000001" customHeight="1">
      <c r="A4" s="1203" t="s">
        <v>756</v>
      </c>
      <c r="B4" s="126" t="s">
        <v>763</v>
      </c>
      <c r="C4" s="326">
        <v>3</v>
      </c>
      <c r="D4" s="126"/>
      <c r="F4" s="143" t="s">
        <v>978</v>
      </c>
      <c r="X4" s="186" t="s">
        <v>994</v>
      </c>
      <c r="Y4" s="133"/>
      <c r="Z4" s="133"/>
      <c r="AA4" s="133"/>
      <c r="AB4" s="133"/>
      <c r="AC4" s="133"/>
      <c r="AD4" s="133"/>
      <c r="AE4" s="133"/>
      <c r="AF4" s="133"/>
      <c r="AG4" s="133"/>
    </row>
    <row r="5" spans="1:33" ht="17.100000000000001" customHeight="1">
      <c r="A5" s="1204"/>
      <c r="B5" s="126" t="s">
        <v>1026</v>
      </c>
      <c r="C5" s="326">
        <v>90</v>
      </c>
      <c r="D5" s="126"/>
      <c r="Y5" s="134"/>
      <c r="Z5" s="134"/>
      <c r="AA5" s="134"/>
      <c r="AB5" s="134"/>
      <c r="AC5" s="134"/>
      <c r="AD5" s="134"/>
      <c r="AE5" s="134"/>
      <c r="AF5" s="134"/>
      <c r="AG5" s="134"/>
    </row>
    <row r="6" spans="1:33" ht="17.100000000000001" customHeight="1">
      <c r="A6" s="1205"/>
      <c r="B6" s="126" t="s">
        <v>765</v>
      </c>
      <c r="C6" s="326">
        <v>3.2</v>
      </c>
      <c r="D6" s="126" t="s">
        <v>1038</v>
      </c>
      <c r="F6" s="177" t="s">
        <v>979</v>
      </c>
      <c r="Y6" s="135"/>
      <c r="Z6" s="135"/>
      <c r="AA6" s="135"/>
      <c r="AB6" s="135"/>
      <c r="AC6" s="135"/>
      <c r="AD6" s="135"/>
      <c r="AE6" s="135"/>
      <c r="AF6" s="135"/>
      <c r="AG6" s="135"/>
    </row>
    <row r="7" spans="1:33" ht="17.100000000000001" customHeight="1">
      <c r="A7" s="1150" t="s">
        <v>974</v>
      </c>
      <c r="B7" s="126" t="s">
        <v>975</v>
      </c>
      <c r="C7" s="326">
        <v>19</v>
      </c>
      <c r="D7" s="189" t="s">
        <v>1062</v>
      </c>
      <c r="F7" s="1208" t="s">
        <v>985</v>
      </c>
      <c r="G7" s="1192" t="s">
        <v>986</v>
      </c>
      <c r="H7" s="1175"/>
      <c r="I7" s="1175"/>
      <c r="J7" s="1175"/>
      <c r="K7" s="1175"/>
      <c r="L7" s="1175"/>
      <c r="M7" s="50"/>
      <c r="N7" s="50"/>
      <c r="O7" s="50"/>
      <c r="P7" s="50"/>
      <c r="Q7" s="50"/>
      <c r="R7" s="50"/>
      <c r="V7" s="132"/>
      <c r="W7" s="132"/>
      <c r="Y7" s="135"/>
      <c r="Z7" s="135"/>
    </row>
    <row r="8" spans="1:33" ht="17.100000000000001" customHeight="1">
      <c r="A8" s="1151"/>
      <c r="B8" s="126" t="s">
        <v>981</v>
      </c>
      <c r="C8" s="127">
        <f>C7*C6</f>
        <v>60.800000000000004</v>
      </c>
      <c r="D8" s="139"/>
      <c r="F8" s="1208"/>
      <c r="G8" s="1209" t="s">
        <v>983</v>
      </c>
      <c r="H8" s="1209"/>
      <c r="I8" s="1191" t="s">
        <v>984</v>
      </c>
      <c r="J8" s="1191"/>
      <c r="K8" s="1192" t="s">
        <v>222</v>
      </c>
      <c r="L8" s="1192"/>
      <c r="M8" s="84"/>
      <c r="N8" s="84"/>
      <c r="O8" s="84"/>
      <c r="P8" s="84"/>
      <c r="Q8" s="84"/>
      <c r="R8" s="84"/>
      <c r="V8" s="133"/>
      <c r="W8" s="133"/>
      <c r="Y8" s="135"/>
      <c r="Z8" s="135"/>
      <c r="AA8" s="135"/>
      <c r="AB8" s="135"/>
      <c r="AC8" s="135"/>
      <c r="AD8" s="135"/>
      <c r="AE8" s="135"/>
      <c r="AF8" s="135"/>
      <c r="AG8" s="135"/>
    </row>
    <row r="9" spans="1:33" ht="17.100000000000001" customHeight="1">
      <c r="A9" s="1152"/>
      <c r="B9" s="126" t="s">
        <v>980</v>
      </c>
      <c r="C9" s="326">
        <v>61</v>
      </c>
      <c r="D9" s="139"/>
      <c r="F9" s="188" t="s">
        <v>983</v>
      </c>
      <c r="G9" s="1189">
        <v>1</v>
      </c>
      <c r="H9" s="1190"/>
      <c r="I9" s="1189">
        <v>1.1000000000000001</v>
      </c>
      <c r="J9" s="1190"/>
      <c r="K9" s="1189">
        <v>1.3</v>
      </c>
      <c r="L9" s="1190"/>
      <c r="M9" s="187"/>
      <c r="N9" s="134"/>
      <c r="O9" s="134"/>
      <c r="P9" s="134"/>
      <c r="Q9" s="134"/>
      <c r="R9" s="135"/>
      <c r="S9" s="135"/>
      <c r="T9" s="135"/>
      <c r="U9" s="135"/>
      <c r="V9" s="135"/>
      <c r="W9" s="135"/>
      <c r="Y9" s="135"/>
      <c r="Z9" s="135"/>
      <c r="AA9" s="135"/>
      <c r="AB9" s="135"/>
      <c r="AC9" s="135"/>
      <c r="AD9" s="135"/>
      <c r="AE9" s="135"/>
      <c r="AF9" s="135"/>
      <c r="AG9" s="135"/>
    </row>
    <row r="10" spans="1:33" ht="17.100000000000001" customHeight="1">
      <c r="A10" s="1150" t="s">
        <v>982</v>
      </c>
      <c r="B10" s="126" t="s">
        <v>767</v>
      </c>
      <c r="C10" s="326">
        <v>1</v>
      </c>
      <c r="D10" s="189" t="s">
        <v>1061</v>
      </c>
      <c r="F10" s="188" t="s">
        <v>987</v>
      </c>
      <c r="G10" s="1189">
        <v>1.4</v>
      </c>
      <c r="H10" s="1190"/>
      <c r="I10" s="1189">
        <v>1.5</v>
      </c>
      <c r="J10" s="1190"/>
      <c r="K10" s="1189">
        <v>1.7</v>
      </c>
      <c r="L10" s="1190"/>
      <c r="M10" s="135"/>
      <c r="N10" s="135"/>
      <c r="O10" s="135"/>
      <c r="P10" s="135"/>
      <c r="Q10" s="135"/>
      <c r="R10" s="135"/>
      <c r="S10" s="135"/>
      <c r="T10" s="135"/>
      <c r="U10" s="135"/>
      <c r="V10" s="135"/>
      <c r="W10" s="135"/>
      <c r="X10" s="135"/>
      <c r="Y10" s="135"/>
      <c r="Z10" s="135"/>
      <c r="AA10" s="135"/>
      <c r="AB10" s="135"/>
      <c r="AC10" s="135"/>
      <c r="AD10" s="135"/>
      <c r="AE10" s="135"/>
      <c r="AF10" s="135"/>
      <c r="AG10" s="135"/>
    </row>
    <row r="11" spans="1:33" ht="17.100000000000001" customHeight="1">
      <c r="A11" s="1151"/>
      <c r="B11" s="126" t="s">
        <v>989</v>
      </c>
      <c r="C11" s="129">
        <f>35.930348484206*C7^(-1.11109669563915)</f>
        <v>1.3634603997463146</v>
      </c>
      <c r="D11" s="176"/>
      <c r="F11" s="188" t="s">
        <v>988</v>
      </c>
      <c r="G11" s="1189">
        <v>1.8</v>
      </c>
      <c r="H11" s="1190"/>
      <c r="I11" s="1189">
        <v>1.9</v>
      </c>
      <c r="J11" s="1190"/>
      <c r="K11" s="1189">
        <v>2.1</v>
      </c>
      <c r="L11" s="1190"/>
      <c r="M11" s="135"/>
      <c r="N11" s="135"/>
      <c r="O11" s="135"/>
      <c r="P11" s="135"/>
      <c r="Q11" s="135"/>
      <c r="R11" s="135"/>
      <c r="S11" s="135"/>
      <c r="T11" s="135"/>
      <c r="U11" s="135"/>
      <c r="V11" s="135"/>
      <c r="W11" s="135"/>
    </row>
    <row r="12" spans="1:33" ht="17.100000000000001" customHeight="1">
      <c r="A12" s="1151"/>
      <c r="B12" s="126" t="s">
        <v>995</v>
      </c>
      <c r="C12" s="341" t="s">
        <v>991</v>
      </c>
      <c r="D12" s="190">
        <f>IF(C12=X2,1,IF(C12=X3,1.75,IF(C12=X4,2.5,1)))</f>
        <v>1</v>
      </c>
    </row>
    <row r="13" spans="1:33" ht="17.100000000000001" customHeight="1">
      <c r="A13" s="1152"/>
      <c r="B13" s="126" t="s">
        <v>1027</v>
      </c>
      <c r="C13" s="129">
        <f>C4*C10*C11/D12</f>
        <v>4.0903811992389443</v>
      </c>
      <c r="D13" s="126" t="s">
        <v>996</v>
      </c>
      <c r="F13" t="s">
        <v>997</v>
      </c>
    </row>
    <row r="14" spans="1:33" ht="17.100000000000001" customHeight="1">
      <c r="A14" s="1150" t="s">
        <v>1030</v>
      </c>
      <c r="B14" s="148" t="s">
        <v>998</v>
      </c>
      <c r="C14" s="340" t="s">
        <v>999</v>
      </c>
      <c r="D14" s="189" t="s">
        <v>1063</v>
      </c>
      <c r="Y14" s="179" t="s">
        <v>1025</v>
      </c>
      <c r="Z14" s="179" t="s">
        <v>1028</v>
      </c>
    </row>
    <row r="15" spans="1:33" ht="17.100000000000001" customHeight="1">
      <c r="A15" s="1152"/>
      <c r="B15" s="126" t="s">
        <v>1028</v>
      </c>
      <c r="C15" s="180">
        <f>IF(C14=Y15,Z15,LEFT(C14,2)*3.175/2)</f>
        <v>31.75</v>
      </c>
      <c r="D15" s="139"/>
      <c r="Y15" s="178" t="s">
        <v>1000</v>
      </c>
      <c r="Z15" s="178">
        <v>8</v>
      </c>
    </row>
    <row r="16" spans="1:33" ht="17.100000000000001" customHeight="1">
      <c r="A16" s="1150" t="s">
        <v>1029</v>
      </c>
      <c r="B16" s="126" t="s">
        <v>1031</v>
      </c>
      <c r="C16" s="326">
        <v>1000</v>
      </c>
      <c r="D16" s="139" t="str">
        <f>30*C15&amp;"~"&amp;50*C15</f>
        <v>952.5~1587.5</v>
      </c>
      <c r="Y16" s="178" t="s">
        <v>1010</v>
      </c>
      <c r="Z16" s="178">
        <f t="shared" ref="Z16:Z40" si="0">LEFT(Y16,2)*3.175/2</f>
        <v>9.5249999999999986</v>
      </c>
    </row>
    <row r="17" spans="1:26" ht="15" customHeight="1">
      <c r="A17" s="1151"/>
      <c r="B17" s="126" t="s">
        <v>1032</v>
      </c>
      <c r="C17" s="181">
        <f>2*C16/C15+(C7+C9)/2+((C9-C7)/2/PI())^2*C15/C16</f>
        <v>104.41079986731607</v>
      </c>
      <c r="D17" s="1206" t="s">
        <v>1033</v>
      </c>
      <c r="Y17" s="178" t="s">
        <v>1001</v>
      </c>
      <c r="Z17" s="178">
        <f t="shared" si="0"/>
        <v>12.7</v>
      </c>
    </row>
    <row r="18" spans="1:26" ht="14.25">
      <c r="A18" s="1151"/>
      <c r="B18" s="126" t="s">
        <v>1034</v>
      </c>
      <c r="C18" s="339">
        <v>104</v>
      </c>
      <c r="D18" s="1207"/>
      <c r="Y18" s="178" t="s">
        <v>1011</v>
      </c>
      <c r="Z18" s="178">
        <f t="shared" si="0"/>
        <v>12.7</v>
      </c>
    </row>
    <row r="19" spans="1:26" ht="14.25">
      <c r="A19" s="1151"/>
      <c r="B19" s="194" t="s">
        <v>1071</v>
      </c>
      <c r="C19" s="195">
        <f>PI()*((C18-C7)/(C9-C7)-1)</f>
        <v>3.2163924786752642</v>
      </c>
      <c r="D19" s="196"/>
      <c r="Y19" s="178" t="s">
        <v>1002</v>
      </c>
      <c r="Z19" s="178">
        <f>LEFT(Y19,2)*3.175/2</f>
        <v>15.875</v>
      </c>
    </row>
    <row r="20" spans="1:26" ht="14.25">
      <c r="A20" s="1151"/>
      <c r="B20" s="194" t="str">
        <f>"从invθ="&amp;ROUND(C19,2)&amp;" 反解θ(°)"</f>
        <v>从invθ=3.22 反解θ(°)</v>
      </c>
      <c r="C20" s="195">
        <f>IF(C19=0,0,DEGREES((ATAN((C19/(1/3+0.4*C19^(2/3)/3^(1/3)+5.55*3^(1/3)*C19^(4/3)/105))^(1/3)+C19))-(TAN(ATAN((C19/(1/3+0.4*C19^(2/3)/3^(1/3)+5.55*3^(1/3)*C19^(4/3)/105))^(1/3)+C19))-(ATAN((C19/(1/3+0.4*C19^(2/3)/3^(1/3)+5.55*3^(1/3)*C19^(4/3)/105))^(1/3)+C19))-C19)/(TAN(ATAN((C19/(1/3+0.4*C19^(2/3)/3^(1/3)+5.55*3^(1/3)*C19^(4/3)/105))^(1/3)+C19)))^2))</f>
        <v>77.662020742062367</v>
      </c>
      <c r="D20" s="194" t="s">
        <v>1072</v>
      </c>
      <c r="Y20" s="178" t="s">
        <v>1012</v>
      </c>
      <c r="Z20" s="178">
        <f t="shared" si="0"/>
        <v>15.875</v>
      </c>
    </row>
    <row r="21" spans="1:26" ht="14.25" customHeight="1">
      <c r="A21" s="1151"/>
      <c r="B21" s="126" t="s">
        <v>1035</v>
      </c>
      <c r="C21" s="193">
        <f>1/(2*PI()*COS(RADIANS(C20))*(2*(C18-C7)/(C9-C7)-1))</f>
        <v>0.24439913752388573</v>
      </c>
      <c r="D21" s="192"/>
      <c r="Y21" s="178" t="s">
        <v>1013</v>
      </c>
      <c r="Z21" s="178">
        <f t="shared" si="0"/>
        <v>19.049999999999997</v>
      </c>
    </row>
    <row r="22" spans="1:26" ht="14.25">
      <c r="A22" s="1152"/>
      <c r="B22" s="126" t="s">
        <v>1036</v>
      </c>
      <c r="C22" s="129">
        <f>C21*C15*(2*C18-C7-C9)</f>
        <v>993.23809489707162</v>
      </c>
      <c r="D22" s="139"/>
      <c r="Y22" s="178" t="s">
        <v>1014</v>
      </c>
      <c r="Z22" s="178">
        <f t="shared" si="0"/>
        <v>19.049999999999997</v>
      </c>
    </row>
    <row r="23" spans="1:26" ht="14.25">
      <c r="A23" s="1150" t="s">
        <v>1059</v>
      </c>
      <c r="B23" s="126" t="s">
        <v>1037</v>
      </c>
      <c r="C23" s="129">
        <f>C5*C7*C15/60000</f>
        <v>0.90487499999999998</v>
      </c>
      <c r="D23" s="126" t="s">
        <v>1039</v>
      </c>
      <c r="Y23" s="178" t="s">
        <v>1003</v>
      </c>
      <c r="Z23" s="178">
        <f t="shared" si="0"/>
        <v>25.4</v>
      </c>
    </row>
    <row r="24" spans="1:26" ht="14.25">
      <c r="A24" s="1152"/>
      <c r="B24" s="148" t="s">
        <v>1040</v>
      </c>
      <c r="C24" s="338" t="s">
        <v>1042</v>
      </c>
      <c r="D24" s="192" t="s">
        <v>1070</v>
      </c>
      <c r="Y24" s="178" t="s">
        <v>1015</v>
      </c>
      <c r="Z24" s="178">
        <f t="shared" si="0"/>
        <v>25.4</v>
      </c>
    </row>
    <row r="25" spans="1:26" ht="14.25">
      <c r="A25" s="1134" t="s">
        <v>1052</v>
      </c>
      <c r="B25" s="126" t="s">
        <v>1054</v>
      </c>
      <c r="C25" s="129">
        <f>1000*C4/C23</f>
        <v>3315.375051802735</v>
      </c>
      <c r="D25" s="126" t="s">
        <v>1053</v>
      </c>
      <c r="Y25" s="178" t="s">
        <v>999</v>
      </c>
      <c r="Z25" s="178">
        <f t="shared" si="0"/>
        <v>31.75</v>
      </c>
    </row>
    <row r="26" spans="1:26" ht="14.25">
      <c r="A26" s="1134"/>
      <c r="B26" s="126" t="s">
        <v>1055</v>
      </c>
      <c r="C26" s="127">
        <v>1.1499999999999999</v>
      </c>
      <c r="D26" s="126" t="s">
        <v>1056</v>
      </c>
      <c r="Y26" s="178" t="s">
        <v>1016</v>
      </c>
      <c r="Z26" s="178">
        <f t="shared" si="0"/>
        <v>31.75</v>
      </c>
    </row>
    <row r="27" spans="1:26" ht="14.25">
      <c r="A27" s="1134"/>
      <c r="B27" s="182" t="s">
        <v>1058</v>
      </c>
      <c r="C27" s="129">
        <f>C26*C25</f>
        <v>3812.681309573145</v>
      </c>
      <c r="D27" s="126" t="s">
        <v>1057</v>
      </c>
      <c r="Y27" s="178" t="s">
        <v>1004</v>
      </c>
      <c r="Z27" s="178">
        <f t="shared" si="0"/>
        <v>38.099999999999994</v>
      </c>
    </row>
    <row r="28" spans="1:26" ht="14.25" customHeight="1">
      <c r="A28" s="172" t="s">
        <v>1060</v>
      </c>
      <c r="B28" s="1195" t="str">
        <f>C14&amp;"-"&amp;IF(C12=X2,1,IF(C12=X3,2,IF(C12=X4,3,1)))&amp;"-"&amp;C18&amp;" GB/T1243-1997"</f>
        <v>20A-1-104 GB/T1243-1997</v>
      </c>
      <c r="C28" s="1196"/>
      <c r="D28" s="126" t="s">
        <v>1064</v>
      </c>
      <c r="Y28" s="178" t="s">
        <v>1017</v>
      </c>
      <c r="Z28" s="178">
        <f t="shared" si="0"/>
        <v>38.099999999999994</v>
      </c>
    </row>
    <row r="29" spans="1:26" ht="15" thickBot="1">
      <c r="A29" s="124"/>
      <c r="B29" s="124"/>
      <c r="C29" s="125"/>
      <c r="D29" s="124"/>
      <c r="Y29" s="178" t="s">
        <v>1005</v>
      </c>
      <c r="Z29" s="178">
        <f t="shared" si="0"/>
        <v>44.449999999999996</v>
      </c>
    </row>
    <row r="30" spans="1:26" ht="14.25">
      <c r="A30" s="1197" t="s">
        <v>1074</v>
      </c>
      <c r="B30" s="1153"/>
      <c r="C30" s="1153"/>
      <c r="D30" s="1198"/>
      <c r="Y30" s="178" t="s">
        <v>1018</v>
      </c>
      <c r="Z30" s="178">
        <f t="shared" si="0"/>
        <v>44.449999999999996</v>
      </c>
    </row>
    <row r="31" spans="1:26" ht="14.25">
      <c r="A31" s="1199"/>
      <c r="B31" s="1154"/>
      <c r="C31" s="1154"/>
      <c r="D31" s="1200"/>
      <c r="Y31" s="178" t="s">
        <v>1006</v>
      </c>
      <c r="Z31" s="178">
        <f t="shared" si="0"/>
        <v>50.8</v>
      </c>
    </row>
    <row r="32" spans="1:26" ht="14.25">
      <c r="A32" s="1199"/>
      <c r="B32" s="1154"/>
      <c r="C32" s="1154"/>
      <c r="D32" s="1200"/>
      <c r="Y32" s="178" t="s">
        <v>1019</v>
      </c>
      <c r="Z32" s="178">
        <f t="shared" si="0"/>
        <v>50.8</v>
      </c>
    </row>
    <row r="33" spans="1:26" ht="14.25">
      <c r="A33" s="1199"/>
      <c r="B33" s="1154"/>
      <c r="C33" s="1154"/>
      <c r="D33" s="1200"/>
      <c r="Y33" s="178" t="s">
        <v>1007</v>
      </c>
      <c r="Z33" s="178">
        <f t="shared" si="0"/>
        <v>57.15</v>
      </c>
    </row>
    <row r="34" spans="1:26" ht="14.25">
      <c r="A34" s="1199"/>
      <c r="B34" s="1154"/>
      <c r="C34" s="1154"/>
      <c r="D34" s="1200"/>
      <c r="Y34" s="178" t="s">
        <v>1008</v>
      </c>
      <c r="Z34" s="178">
        <f t="shared" si="0"/>
        <v>63.5</v>
      </c>
    </row>
    <row r="35" spans="1:26" ht="14.25">
      <c r="A35" s="1199"/>
      <c r="B35" s="1154"/>
      <c r="C35" s="1154"/>
      <c r="D35" s="1200"/>
      <c r="Y35" s="178" t="s">
        <v>1020</v>
      </c>
      <c r="Z35" s="178">
        <f t="shared" si="0"/>
        <v>63.5</v>
      </c>
    </row>
    <row r="36" spans="1:26" ht="14.25">
      <c r="A36" s="1199"/>
      <c r="B36" s="1154"/>
      <c r="C36" s="1154"/>
      <c r="D36" s="1200"/>
      <c r="Y36" s="178" t="s">
        <v>1009</v>
      </c>
      <c r="Z36" s="178">
        <f t="shared" si="0"/>
        <v>76.199999999999989</v>
      </c>
    </row>
    <row r="37" spans="1:26" ht="14.25">
      <c r="A37" s="1199"/>
      <c r="B37" s="1154"/>
      <c r="C37" s="1154"/>
      <c r="D37" s="1200"/>
      <c r="F37" t="s">
        <v>1069</v>
      </c>
      <c r="T37" s="183" t="s">
        <v>1040</v>
      </c>
      <c r="Y37" s="178" t="s">
        <v>1021</v>
      </c>
      <c r="Z37" s="178">
        <f t="shared" si="0"/>
        <v>76.199999999999989</v>
      </c>
    </row>
    <row r="38" spans="1:26" ht="14.25">
      <c r="A38" s="1199"/>
      <c r="B38" s="1154"/>
      <c r="C38" s="1154"/>
      <c r="D38" s="1200"/>
      <c r="K38" s="1193" t="s">
        <v>1046</v>
      </c>
      <c r="L38" s="1193"/>
      <c r="M38" s="1193"/>
      <c r="N38" s="1193"/>
      <c r="O38" s="1193"/>
      <c r="T38" s="186" t="s">
        <v>1041</v>
      </c>
      <c r="Y38" s="178" t="s">
        <v>1022</v>
      </c>
      <c r="Z38" s="178">
        <f t="shared" si="0"/>
        <v>88.899999999999991</v>
      </c>
    </row>
    <row r="39" spans="1:26" ht="14.25">
      <c r="A39" s="1199"/>
      <c r="B39" s="1154"/>
      <c r="C39" s="1154"/>
      <c r="D39" s="1200"/>
      <c r="K39" s="1193"/>
      <c r="L39" s="1193"/>
      <c r="M39" s="1193"/>
      <c r="N39" s="1193"/>
      <c r="O39" s="1193"/>
      <c r="T39" s="186" t="s">
        <v>1043</v>
      </c>
      <c r="Y39" s="178" t="s">
        <v>1023</v>
      </c>
      <c r="Z39" s="178">
        <f t="shared" si="0"/>
        <v>101.6</v>
      </c>
    </row>
    <row r="40" spans="1:26" ht="15" thickBot="1">
      <c r="A40" s="1201"/>
      <c r="B40" s="1155"/>
      <c r="C40" s="1155"/>
      <c r="D40" s="1202"/>
      <c r="K40" s="1193"/>
      <c r="L40" s="1193"/>
      <c r="M40" s="1193"/>
      <c r="N40" s="1193"/>
      <c r="O40" s="1193"/>
      <c r="T40" s="186" t="s">
        <v>1044</v>
      </c>
      <c r="Y40" s="178" t="s">
        <v>1024</v>
      </c>
      <c r="Z40" s="178">
        <f t="shared" si="0"/>
        <v>114.3</v>
      </c>
    </row>
    <row r="41" spans="1:26" ht="14.25" customHeight="1">
      <c r="A41" s="1163" t="s">
        <v>1073</v>
      </c>
      <c r="B41" s="1164"/>
      <c r="C41" s="1164"/>
      <c r="D41" s="1165"/>
      <c r="K41" s="1193"/>
      <c r="L41" s="1193"/>
      <c r="M41" s="1193"/>
      <c r="N41" s="1193"/>
      <c r="O41" s="1193"/>
      <c r="T41" s="186" t="s">
        <v>1045</v>
      </c>
    </row>
    <row r="42" spans="1:26" ht="14.25" customHeight="1">
      <c r="A42" s="1166"/>
      <c r="B42" s="1167"/>
      <c r="C42" s="1167"/>
      <c r="D42" s="1168"/>
    </row>
    <row r="43" spans="1:26" ht="14.25" customHeight="1">
      <c r="A43" s="1166"/>
      <c r="B43" s="1167"/>
      <c r="C43" s="1167"/>
      <c r="D43" s="1168"/>
      <c r="K43" s="1193" t="s">
        <v>1047</v>
      </c>
      <c r="L43" s="1193"/>
      <c r="M43" s="1193"/>
      <c r="N43" s="1193"/>
      <c r="O43" s="1193"/>
    </row>
    <row r="44" spans="1:26" ht="14.25">
      <c r="A44" s="1166"/>
      <c r="B44" s="1167"/>
      <c r="C44" s="1167"/>
      <c r="D44" s="1168"/>
      <c r="K44" s="1193"/>
      <c r="L44" s="1193"/>
      <c r="M44" s="1193"/>
      <c r="N44" s="1193"/>
      <c r="O44" s="1193"/>
    </row>
    <row r="45" spans="1:26" ht="14.25">
      <c r="A45" s="1166"/>
      <c r="B45" s="1167"/>
      <c r="C45" s="1167"/>
      <c r="D45" s="1168"/>
      <c r="F45" s="143"/>
      <c r="K45" s="1193"/>
      <c r="L45" s="1193"/>
      <c r="M45" s="1193"/>
      <c r="N45" s="1193"/>
      <c r="O45" s="1193"/>
    </row>
    <row r="46" spans="1:26" ht="14.25">
      <c r="A46" s="1166"/>
      <c r="B46" s="1167"/>
      <c r="C46" s="1167"/>
      <c r="D46" s="1168"/>
      <c r="K46" s="1193"/>
      <c r="L46" s="1193"/>
      <c r="M46" s="1193"/>
      <c r="N46" s="1193"/>
      <c r="O46" s="1193"/>
    </row>
    <row r="47" spans="1:26" ht="15" thickBot="1">
      <c r="A47" s="1169"/>
      <c r="B47" s="1170"/>
      <c r="C47" s="1170"/>
      <c r="D47" s="1171"/>
      <c r="K47" s="1193"/>
      <c r="L47" s="1193"/>
      <c r="M47" s="1193"/>
      <c r="N47" s="1193"/>
      <c r="O47" s="1193"/>
    </row>
    <row r="48" spans="1:26" ht="14.25" customHeight="1">
      <c r="A48" s="142"/>
      <c r="B48" s="142"/>
      <c r="C48" s="142"/>
      <c r="D48" s="142"/>
      <c r="K48" s="1193"/>
      <c r="L48" s="1193"/>
      <c r="M48" s="1193"/>
      <c r="N48" s="1193"/>
      <c r="O48" s="1193"/>
    </row>
    <row r="49" spans="1:15" ht="14.25">
      <c r="A49" s="79" t="s">
        <v>1065</v>
      </c>
      <c r="B49" s="142"/>
      <c r="C49" s="142"/>
      <c r="D49" s="142"/>
      <c r="K49" s="185"/>
      <c r="L49" s="185"/>
      <c r="M49" s="185"/>
      <c r="N49" s="185"/>
      <c r="O49" s="185"/>
    </row>
    <row r="50" spans="1:15" ht="14.25">
      <c r="A50" s="142"/>
      <c r="B50" s="142"/>
      <c r="C50" s="142"/>
      <c r="D50" s="142"/>
      <c r="K50" s="184"/>
      <c r="L50" s="184"/>
      <c r="M50" s="184"/>
      <c r="N50" s="184"/>
      <c r="O50" s="184"/>
    </row>
    <row r="51" spans="1:15" ht="14.25">
      <c r="A51" s="142"/>
      <c r="B51" s="142"/>
      <c r="C51" s="142"/>
      <c r="D51" s="142"/>
      <c r="K51" s="1193" t="s">
        <v>1048</v>
      </c>
      <c r="L51" s="1193"/>
      <c r="M51" s="1193"/>
      <c r="N51" s="1193"/>
      <c r="O51" s="1193"/>
    </row>
    <row r="52" spans="1:15" ht="14.25">
      <c r="A52" s="142"/>
      <c r="B52" s="142"/>
      <c r="C52" s="142"/>
      <c r="D52" s="142"/>
      <c r="K52" s="1193"/>
      <c r="L52" s="1193"/>
      <c r="M52" s="1193"/>
      <c r="N52" s="1193"/>
      <c r="O52" s="1193"/>
    </row>
    <row r="53" spans="1:15" ht="14.25">
      <c r="A53" s="142"/>
      <c r="B53" s="142"/>
      <c r="C53" s="142"/>
      <c r="D53" s="142"/>
      <c r="K53" s="1193"/>
      <c r="L53" s="1193"/>
      <c r="M53" s="1193"/>
      <c r="N53" s="1193"/>
      <c r="O53" s="1193"/>
    </row>
    <row r="54" spans="1:15" ht="14.25">
      <c r="A54" s="142"/>
      <c r="B54" s="142"/>
      <c r="C54" s="142"/>
      <c r="D54" s="142"/>
      <c r="K54" s="185"/>
      <c r="L54" s="185"/>
      <c r="M54" s="185"/>
      <c r="N54" s="185"/>
      <c r="O54" s="185"/>
    </row>
    <row r="55" spans="1:15" ht="14.25">
      <c r="A55" s="124"/>
      <c r="B55" s="124"/>
      <c r="C55" s="125"/>
      <c r="D55" s="124"/>
      <c r="K55" s="184"/>
      <c r="L55" s="184"/>
      <c r="M55" s="184"/>
      <c r="N55" s="184"/>
      <c r="O55" s="184"/>
    </row>
    <row r="56" spans="1:15" ht="14.25">
      <c r="A56" s="124"/>
      <c r="B56" s="124"/>
      <c r="C56" s="125"/>
      <c r="D56" s="124"/>
      <c r="K56" s="1194" t="s">
        <v>1049</v>
      </c>
      <c r="L56" s="1193"/>
      <c r="M56" s="1193"/>
      <c r="N56" s="1193"/>
      <c r="O56" s="1193"/>
    </row>
    <row r="57" spans="1:15" ht="14.25">
      <c r="A57" s="124"/>
      <c r="B57" s="124"/>
      <c r="C57" s="125"/>
      <c r="D57" s="124"/>
      <c r="K57" s="1193"/>
      <c r="L57" s="1193"/>
      <c r="M57" s="1193"/>
      <c r="N57" s="1193"/>
      <c r="O57" s="1193"/>
    </row>
    <row r="58" spans="1:15" ht="14.25">
      <c r="A58" s="124"/>
      <c r="B58" s="124"/>
      <c r="C58" s="125"/>
      <c r="D58" s="124"/>
      <c r="K58" s="1193"/>
      <c r="L58" s="1193"/>
      <c r="M58" s="1193"/>
      <c r="N58" s="1193"/>
      <c r="O58" s="1193"/>
    </row>
    <row r="59" spans="1:15" ht="14.25">
      <c r="A59" s="124"/>
      <c r="B59" s="124"/>
      <c r="C59" s="125"/>
      <c r="D59" s="124"/>
      <c r="K59" s="184"/>
      <c r="L59" s="184"/>
      <c r="M59" s="184"/>
      <c r="N59" s="184"/>
      <c r="O59" s="184"/>
    </row>
    <row r="60" spans="1:15" ht="14.25">
      <c r="A60" s="124"/>
      <c r="B60" s="124"/>
      <c r="C60" s="125"/>
      <c r="D60" s="124"/>
      <c r="K60" s="1194" t="s">
        <v>1050</v>
      </c>
      <c r="L60" s="1194"/>
      <c r="M60" s="1194"/>
      <c r="N60" s="1194"/>
      <c r="O60" s="1194"/>
    </row>
    <row r="61" spans="1:15" ht="14.25">
      <c r="A61" s="124"/>
      <c r="B61" s="124"/>
      <c r="C61" s="125"/>
      <c r="D61" s="124"/>
      <c r="K61" s="1194"/>
      <c r="L61" s="1194"/>
      <c r="M61" s="1194"/>
      <c r="N61" s="1194"/>
      <c r="O61" s="1194"/>
    </row>
    <row r="62" spans="1:15" ht="14.25">
      <c r="A62" s="124"/>
      <c r="B62" s="124"/>
      <c r="C62" s="125"/>
      <c r="D62" s="124"/>
      <c r="K62" s="1194"/>
      <c r="L62" s="1194"/>
      <c r="M62" s="1194"/>
      <c r="N62" s="1194"/>
      <c r="O62" s="1194"/>
    </row>
    <row r="63" spans="1:15" ht="14.25" customHeight="1">
      <c r="A63" s="124"/>
      <c r="B63" s="124"/>
      <c r="C63" s="125"/>
      <c r="D63" s="124"/>
      <c r="K63" s="1194"/>
      <c r="L63" s="1194"/>
      <c r="M63" s="1194"/>
      <c r="N63" s="1194"/>
      <c r="O63" s="1194"/>
    </row>
    <row r="64" spans="1:15" ht="14.25">
      <c r="A64" s="124"/>
      <c r="B64" s="124"/>
      <c r="C64" s="125"/>
      <c r="D64" s="124"/>
    </row>
    <row r="65" spans="1:4" ht="14.25">
      <c r="A65" s="124"/>
      <c r="B65" s="124"/>
      <c r="C65" s="125"/>
      <c r="D65" s="124"/>
    </row>
    <row r="66" spans="1:4" ht="14.25">
      <c r="A66" t="s">
        <v>1066</v>
      </c>
      <c r="B66" s="124"/>
      <c r="C66" s="125"/>
      <c r="D66" s="124"/>
    </row>
    <row r="67" spans="1:4" ht="14.25">
      <c r="A67" s="124"/>
      <c r="B67" s="124"/>
      <c r="C67" s="125"/>
      <c r="D67" s="124"/>
    </row>
    <row r="68" spans="1:4" ht="14.25">
      <c r="A68" s="124"/>
      <c r="B68" s="124"/>
      <c r="C68" s="125"/>
      <c r="D68" s="124"/>
    </row>
    <row r="69" spans="1:4" ht="14.25">
      <c r="A69" s="124"/>
      <c r="B69" s="124"/>
      <c r="C69" s="125"/>
      <c r="D69" s="124"/>
    </row>
    <row r="70" spans="1:4" ht="14.25">
      <c r="A70" s="124"/>
      <c r="B70" s="124"/>
      <c r="C70" s="125"/>
      <c r="D70" s="124"/>
    </row>
    <row r="71" spans="1:4" ht="14.25">
      <c r="A71" s="124"/>
      <c r="B71" s="124"/>
      <c r="C71" s="125"/>
      <c r="D71" s="124"/>
    </row>
    <row r="72" spans="1:4" ht="14.25">
      <c r="A72" s="124"/>
      <c r="B72" s="124"/>
      <c r="C72" s="125"/>
      <c r="D72" s="124"/>
    </row>
    <row r="73" spans="1:4" ht="14.25">
      <c r="A73" s="124"/>
      <c r="B73" s="124"/>
      <c r="C73" s="125"/>
      <c r="D73" s="124"/>
    </row>
    <row r="74" spans="1:4" ht="14.25">
      <c r="A74" s="124"/>
      <c r="B74" s="124"/>
      <c r="C74" s="125"/>
      <c r="D74" s="124"/>
    </row>
    <row r="75" spans="1:4" ht="14.25">
      <c r="A75" s="124"/>
      <c r="B75" s="124"/>
      <c r="C75" s="125"/>
      <c r="D75" s="124"/>
    </row>
    <row r="76" spans="1:4" ht="14.25">
      <c r="A76" s="124"/>
      <c r="B76" s="124"/>
      <c r="C76" s="125"/>
      <c r="D76" s="124"/>
    </row>
    <row r="77" spans="1:4" ht="14.25">
      <c r="A77" s="124"/>
      <c r="B77" s="124"/>
      <c r="C77" s="125"/>
      <c r="D77" s="124"/>
    </row>
    <row r="78" spans="1:4" ht="14.25">
      <c r="A78" s="124"/>
      <c r="B78" s="124"/>
      <c r="C78" s="125"/>
      <c r="D78" s="124"/>
    </row>
    <row r="79" spans="1:4" ht="14.25">
      <c r="A79" s="124"/>
      <c r="B79" s="124"/>
      <c r="C79" s="125"/>
      <c r="D79" s="124"/>
    </row>
    <row r="80" spans="1:4" ht="14.25">
      <c r="A80" s="124"/>
      <c r="B80" s="124"/>
      <c r="C80" s="125"/>
      <c r="D80" s="124"/>
    </row>
    <row r="81" spans="1:4" ht="14.25">
      <c r="A81" s="124"/>
      <c r="B81" s="124"/>
      <c r="C81" s="125"/>
      <c r="D81" s="124"/>
    </row>
    <row r="82" spans="1:4" ht="14.25">
      <c r="A82" s="124"/>
      <c r="B82" s="124"/>
      <c r="C82" s="125"/>
      <c r="D82" s="124"/>
    </row>
    <row r="83" spans="1:4" ht="15" customHeight="1">
      <c r="A83" s="124"/>
      <c r="B83" s="124"/>
      <c r="C83" s="125"/>
      <c r="D83" s="124"/>
    </row>
    <row r="84" spans="1:4" ht="14.25">
      <c r="A84" s="124"/>
      <c r="B84" s="124"/>
      <c r="C84" s="125"/>
      <c r="D84" s="124"/>
    </row>
    <row r="85" spans="1:4" ht="14.25">
      <c r="A85" s="124"/>
      <c r="B85" s="124"/>
      <c r="C85" s="125"/>
      <c r="D85" s="124"/>
    </row>
    <row r="86" spans="1:4" ht="14.25">
      <c r="A86" s="124"/>
      <c r="B86" s="124"/>
      <c r="C86" s="125"/>
      <c r="D86" s="124"/>
    </row>
    <row r="87" spans="1:4" ht="14.25" customHeight="1">
      <c r="A87" s="124"/>
      <c r="B87" s="124"/>
      <c r="C87" s="125"/>
      <c r="D87" s="124"/>
    </row>
    <row r="88" spans="1:4" ht="14.25" customHeight="1">
      <c r="A88" s="124"/>
      <c r="B88" s="124"/>
      <c r="C88" s="125"/>
      <c r="D88" s="124"/>
    </row>
    <row r="89" spans="1:4" ht="14.25" customHeight="1"/>
    <row r="90" spans="1:4" ht="15" customHeight="1"/>
    <row r="91" spans="1:4" ht="14.25" customHeight="1"/>
    <row r="92" spans="1:4" ht="14.25" customHeight="1"/>
    <row r="93" spans="1:4" ht="14.25" customHeight="1" thickBot="1"/>
    <row r="94" spans="1:4" ht="14.25" customHeight="1">
      <c r="A94" s="1163" t="s">
        <v>825</v>
      </c>
      <c r="B94" s="1164"/>
      <c r="C94" s="1164"/>
      <c r="D94" s="1165"/>
    </row>
    <row r="95" spans="1:4" ht="14.25" customHeight="1">
      <c r="A95" s="1166"/>
      <c r="B95" s="1167"/>
      <c r="C95" s="1167"/>
      <c r="D95" s="1168"/>
    </row>
    <row r="96" spans="1:4" ht="14.25" customHeight="1">
      <c r="A96" s="1166"/>
      <c r="B96" s="1167"/>
      <c r="C96" s="1167"/>
      <c r="D96" s="1168"/>
    </row>
    <row r="97" spans="1:4" ht="15" customHeight="1">
      <c r="A97" s="1166"/>
      <c r="B97" s="1167"/>
      <c r="C97" s="1167"/>
      <c r="D97" s="1168"/>
    </row>
    <row r="98" spans="1:4" ht="14.25" customHeight="1">
      <c r="A98" s="1166"/>
      <c r="B98" s="1167"/>
      <c r="C98" s="1167"/>
      <c r="D98" s="1168"/>
    </row>
    <row r="99" spans="1:4" ht="14.25" customHeight="1">
      <c r="A99" s="1166"/>
      <c r="B99" s="1167"/>
      <c r="C99" s="1167"/>
      <c r="D99" s="1168"/>
    </row>
    <row r="100" spans="1:4" ht="14.25" customHeight="1" thickBot="1">
      <c r="A100" s="1169"/>
      <c r="B100" s="1170"/>
      <c r="C100" s="1170"/>
      <c r="D100" s="1171"/>
    </row>
    <row r="101" spans="1:4" ht="14.25" customHeight="1"/>
    <row r="102" spans="1:4" ht="14.25" customHeight="1"/>
    <row r="103" spans="1:4" ht="15" customHeight="1"/>
    <row r="104" spans="1:4" ht="15" customHeight="1"/>
    <row r="105" spans="1:4" ht="15" customHeight="1"/>
    <row r="106" spans="1:4" ht="14.25"/>
    <row r="107" spans="1:4" ht="16.5" customHeight="1"/>
    <row r="108" spans="1:4" ht="14.25"/>
    <row r="109" spans="1:4" ht="14.25"/>
    <row r="110" spans="1:4" ht="14.25"/>
    <row r="111" spans="1:4" ht="14.25"/>
    <row r="112" spans="1:4" ht="14.25"/>
    <row r="113" spans="1:1" ht="14.25"/>
    <row r="114" spans="1:1" ht="14.25"/>
    <row r="115" spans="1:1" ht="14.25"/>
    <row r="116" spans="1:1" ht="14.25"/>
    <row r="117" spans="1:1" ht="14.25"/>
    <row r="118" spans="1:1" ht="14.25"/>
    <row r="119" spans="1:1" ht="14.25"/>
    <row r="120" spans="1:1" ht="14.25"/>
    <row r="121" spans="1:1" ht="14.25"/>
    <row r="122" spans="1:1" ht="17.100000000000001" customHeight="1">
      <c r="A122" t="s">
        <v>1067</v>
      </c>
    </row>
    <row r="123" spans="1:1" ht="14.25"/>
    <row r="124" spans="1:1" ht="14.25"/>
    <row r="125" spans="1:1" ht="14.25"/>
    <row r="156" spans="1:1" ht="17.100000000000001" customHeight="1">
      <c r="A156" t="s">
        <v>1068</v>
      </c>
    </row>
  </sheetData>
  <sheetProtection password="828E" sheet="1" objects="1" scenarios="1"/>
  <mergeCells count="33">
    <mergeCell ref="A1:D1"/>
    <mergeCell ref="G7:L7"/>
    <mergeCell ref="A4:A6"/>
    <mergeCell ref="K43:O48"/>
    <mergeCell ref="K51:O53"/>
    <mergeCell ref="A25:A27"/>
    <mergeCell ref="G3:L3"/>
    <mergeCell ref="A41:D47"/>
    <mergeCell ref="A23:A24"/>
    <mergeCell ref="A14:A15"/>
    <mergeCell ref="D17:D18"/>
    <mergeCell ref="A16:A22"/>
    <mergeCell ref="A7:A9"/>
    <mergeCell ref="A10:A13"/>
    <mergeCell ref="F7:F8"/>
    <mergeCell ref="G8:H8"/>
    <mergeCell ref="K56:O58"/>
    <mergeCell ref="K60:O63"/>
    <mergeCell ref="A94:D100"/>
    <mergeCell ref="B28:C28"/>
    <mergeCell ref="A30:D40"/>
    <mergeCell ref="I8:J8"/>
    <mergeCell ref="K8:L8"/>
    <mergeCell ref="K38:O41"/>
    <mergeCell ref="K9:L9"/>
    <mergeCell ref="K10:L10"/>
    <mergeCell ref="K11:L11"/>
    <mergeCell ref="G9:H9"/>
    <mergeCell ref="G10:H10"/>
    <mergeCell ref="G11:H11"/>
    <mergeCell ref="I9:J9"/>
    <mergeCell ref="I10:J10"/>
    <mergeCell ref="I11:J11"/>
  </mergeCells>
  <phoneticPr fontId="4" type="noConversion"/>
  <dataValidations disablePrompts="1" count="3">
    <dataValidation type="list" allowBlank="1" showInputMessage="1" showErrorMessage="1" sqref="C12">
      <formula1>$X$2:$X$4</formula1>
    </dataValidation>
    <dataValidation type="list" allowBlank="1" showInputMessage="1" showErrorMessage="1" sqref="C24">
      <formula1>$T$38:$T$41</formula1>
    </dataValidation>
    <dataValidation type="list" allowBlank="1" showInputMessage="1" showErrorMessage="1" sqref="C14">
      <formula1>$Y$15:$Y$38</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sheetPr codeName="Sheet9"/>
  <dimension ref="A1:AG91"/>
  <sheetViews>
    <sheetView workbookViewId="0">
      <selection activeCell="E9" sqref="E9"/>
    </sheetView>
  </sheetViews>
  <sheetFormatPr defaultColWidth="15.625" defaultRowHeight="20.100000000000001" customHeight="1"/>
  <cols>
    <col min="1" max="1" width="15.625" style="262"/>
    <col min="2" max="2" width="25.875" style="262" customWidth="1"/>
    <col min="3" max="3" width="15.625" style="263"/>
    <col min="4" max="4" width="17.625" style="262" customWidth="1"/>
    <col min="5" max="5" width="7.875" style="262" customWidth="1"/>
    <col min="6" max="20" width="10.625" style="262" customWidth="1"/>
    <col min="21" max="27" width="8.625" style="262" customWidth="1"/>
    <col min="28" max="16384" width="15.625" style="262"/>
  </cols>
  <sheetData>
    <row r="1" spans="1:33" ht="21.95" customHeight="1">
      <c r="A1" s="1051" t="s">
        <v>1077</v>
      </c>
      <c r="B1" s="776"/>
      <c r="C1" s="776"/>
      <c r="D1" s="776"/>
    </row>
    <row r="2" spans="1:33" ht="20.100000000000001" customHeight="1">
      <c r="A2" s="333" t="s">
        <v>1137</v>
      </c>
    </row>
    <row r="3" spans="1:33" ht="20.100000000000001" customHeight="1">
      <c r="A3" s="266" t="s">
        <v>1078</v>
      </c>
      <c r="B3" s="266" t="s">
        <v>1079</v>
      </c>
      <c r="C3" s="267" t="s">
        <v>1080</v>
      </c>
      <c r="D3" s="266" t="s">
        <v>1081</v>
      </c>
      <c r="X3" s="342"/>
      <c r="Y3" s="342"/>
      <c r="Z3" s="342"/>
      <c r="AA3" s="342"/>
      <c r="AB3" s="342"/>
      <c r="AC3" s="342"/>
      <c r="AD3" s="342"/>
      <c r="AE3" s="342"/>
      <c r="AF3" s="342"/>
    </row>
    <row r="4" spans="1:33" ht="20.100000000000001" customHeight="1">
      <c r="A4" s="1059" t="s">
        <v>1082</v>
      </c>
      <c r="B4" s="266" t="s">
        <v>1099</v>
      </c>
      <c r="C4" s="326">
        <v>200</v>
      </c>
      <c r="D4" s="266"/>
      <c r="X4" s="342"/>
      <c r="Y4" s="342"/>
      <c r="Z4" s="342"/>
      <c r="AA4" s="342"/>
      <c r="AB4" s="342"/>
      <c r="AC4" s="342"/>
      <c r="AD4" s="342"/>
      <c r="AE4" s="342"/>
      <c r="AF4" s="342"/>
    </row>
    <row r="5" spans="1:33" ht="20.100000000000001" customHeight="1">
      <c r="A5" s="1060"/>
      <c r="B5" s="266" t="s">
        <v>1083</v>
      </c>
      <c r="C5" s="326">
        <v>2</v>
      </c>
      <c r="D5" s="266"/>
      <c r="Y5" s="343"/>
      <c r="Z5" s="343"/>
      <c r="AA5" s="343"/>
      <c r="AB5" s="343"/>
      <c r="AC5" s="343"/>
      <c r="AD5" s="343"/>
      <c r="AE5" s="343"/>
      <c r="AF5" s="343"/>
      <c r="AG5" s="343"/>
    </row>
    <row r="6" spans="1:33" ht="20.100000000000001" customHeight="1">
      <c r="A6" s="1060"/>
      <c r="B6" s="266" t="s">
        <v>1084</v>
      </c>
      <c r="C6" s="326">
        <v>0.8</v>
      </c>
      <c r="D6" s="266"/>
      <c r="Y6" s="344"/>
      <c r="Z6" s="344"/>
      <c r="AA6" s="344"/>
      <c r="AB6" s="344"/>
      <c r="AC6" s="344"/>
      <c r="AD6" s="344"/>
      <c r="AE6" s="344"/>
      <c r="AF6" s="344"/>
      <c r="AG6" s="344"/>
    </row>
    <row r="7" spans="1:33" ht="20.100000000000001" customHeight="1">
      <c r="A7" s="1060"/>
      <c r="B7" s="266" t="s">
        <v>1085</v>
      </c>
      <c r="C7" s="326">
        <v>70</v>
      </c>
      <c r="D7" s="266"/>
      <c r="F7" s="262" t="s">
        <v>1119</v>
      </c>
      <c r="Y7" s="344"/>
      <c r="Z7" s="344"/>
      <c r="AA7" s="344"/>
      <c r="AB7" s="344"/>
    </row>
    <row r="8" spans="1:33" ht="20.100000000000001" customHeight="1">
      <c r="A8" s="1060"/>
      <c r="B8" s="266" t="s">
        <v>1086</v>
      </c>
      <c r="C8" s="326">
        <v>62.5</v>
      </c>
      <c r="D8" s="266"/>
      <c r="F8" s="345" t="s">
        <v>1092</v>
      </c>
      <c r="G8" s="346" t="s">
        <v>1100</v>
      </c>
      <c r="H8" s="346" t="s">
        <v>43</v>
      </c>
      <c r="I8" s="347" t="s">
        <v>1093</v>
      </c>
      <c r="J8" s="347" t="s">
        <v>1095</v>
      </c>
      <c r="K8" s="347" t="s">
        <v>1096</v>
      </c>
      <c r="L8" s="347" t="s">
        <v>1094</v>
      </c>
      <c r="M8" s="347" t="s">
        <v>1097</v>
      </c>
      <c r="Y8" s="344"/>
      <c r="Z8" s="344"/>
      <c r="AA8" s="344"/>
      <c r="AB8" s="344"/>
      <c r="AC8" s="344"/>
      <c r="AD8" s="344"/>
      <c r="AE8" s="344"/>
      <c r="AF8" s="344"/>
      <c r="AG8" s="344"/>
    </row>
    <row r="9" spans="1:33" ht="20.100000000000001" customHeight="1">
      <c r="A9" s="1061"/>
      <c r="B9" s="266" t="s">
        <v>1087</v>
      </c>
      <c r="C9" s="326">
        <v>62.5</v>
      </c>
      <c r="D9" s="266"/>
      <c r="F9" s="266" t="s">
        <v>362</v>
      </c>
      <c r="G9" s="346">
        <v>1</v>
      </c>
      <c r="H9" s="346">
        <v>1.2</v>
      </c>
      <c r="I9" s="346">
        <v>1.4</v>
      </c>
      <c r="J9" s="347">
        <v>1.6</v>
      </c>
      <c r="K9" s="347">
        <v>2.2000000000000002</v>
      </c>
      <c r="L9" s="347">
        <v>2.8</v>
      </c>
      <c r="M9" s="347">
        <v>3.2</v>
      </c>
      <c r="Y9" s="344"/>
      <c r="Z9" s="344"/>
      <c r="AA9" s="344"/>
      <c r="AB9" s="344"/>
      <c r="AC9" s="344"/>
      <c r="AD9" s="344"/>
      <c r="AE9" s="344"/>
      <c r="AF9" s="344"/>
      <c r="AG9" s="344"/>
    </row>
    <row r="10" spans="1:33" ht="20.100000000000001" customHeight="1">
      <c r="A10" s="1081" t="s">
        <v>1088</v>
      </c>
      <c r="B10" s="266" t="s">
        <v>1089</v>
      </c>
      <c r="C10" s="326">
        <v>2.5</v>
      </c>
      <c r="D10" s="348" t="s">
        <v>1136</v>
      </c>
      <c r="F10" s="349" t="s">
        <v>1098</v>
      </c>
      <c r="Y10" s="344"/>
      <c r="Z10" s="344"/>
      <c r="AA10" s="344"/>
      <c r="AB10" s="344"/>
      <c r="AC10" s="344"/>
      <c r="AD10" s="344"/>
      <c r="AE10" s="344"/>
      <c r="AF10" s="344"/>
      <c r="AG10" s="344"/>
    </row>
    <row r="11" spans="1:33" ht="20.100000000000001" customHeight="1">
      <c r="A11" s="1082"/>
      <c r="B11" s="266" t="s">
        <v>1075</v>
      </c>
      <c r="C11" s="350">
        <f>C4/C10/1000</f>
        <v>0.08</v>
      </c>
      <c r="D11" s="348"/>
      <c r="F11" s="349"/>
      <c r="Y11" s="344"/>
      <c r="Z11" s="344"/>
      <c r="AA11" s="344"/>
      <c r="AB11" s="344"/>
    </row>
    <row r="12" spans="1:33" ht="20.100000000000001" customHeight="1">
      <c r="A12" s="1082"/>
      <c r="B12" s="266" t="s">
        <v>1090</v>
      </c>
      <c r="C12" s="326">
        <v>1</v>
      </c>
      <c r="D12" s="348" t="s">
        <v>1076</v>
      </c>
      <c r="F12" s="349" t="s">
        <v>1125</v>
      </c>
      <c r="Y12" s="344"/>
      <c r="Z12" s="344"/>
      <c r="AA12" s="344"/>
      <c r="AB12" s="344"/>
    </row>
    <row r="13" spans="1:33" ht="20.100000000000001" customHeight="1">
      <c r="A13" s="1082"/>
      <c r="B13" s="345" t="s">
        <v>1103</v>
      </c>
      <c r="C13" s="369" t="s">
        <v>1105</v>
      </c>
      <c r="D13" s="348" t="s">
        <v>1154</v>
      </c>
      <c r="F13" s="1221" t="s">
        <v>1104</v>
      </c>
      <c r="G13" s="351"/>
      <c r="H13" s="1222" t="s">
        <v>1110</v>
      </c>
      <c r="I13" s="1212"/>
      <c r="J13" s="1212"/>
      <c r="K13" s="1212"/>
      <c r="L13" s="1212"/>
      <c r="M13" s="1212"/>
      <c r="Y13" s="344"/>
      <c r="Z13" s="344"/>
      <c r="AA13" s="344"/>
      <c r="AB13" s="344"/>
    </row>
    <row r="14" spans="1:33" ht="20.100000000000001" customHeight="1">
      <c r="A14" s="1082"/>
      <c r="B14" s="266" t="s">
        <v>1101</v>
      </c>
      <c r="C14" s="267">
        <f>IF(C13=G14,0.1,IF(OR(C13=H14,C13=I14,C13=J14),0.1,IF(OR(C13=K14,C13=L14,M13=M14),0.15,0.1)))</f>
        <v>0.1</v>
      </c>
      <c r="D14" s="348" t="s">
        <v>1128</v>
      </c>
      <c r="F14" s="1221"/>
      <c r="G14" s="352" t="s">
        <v>1106</v>
      </c>
      <c r="H14" s="353" t="s">
        <v>720</v>
      </c>
      <c r="I14" s="346" t="s">
        <v>722</v>
      </c>
      <c r="J14" s="346" t="s">
        <v>1108</v>
      </c>
      <c r="K14" s="346" t="s">
        <v>721</v>
      </c>
      <c r="L14" s="346" t="s">
        <v>1115</v>
      </c>
      <c r="M14" s="346" t="s">
        <v>1109</v>
      </c>
      <c r="Y14" s="344"/>
      <c r="Z14" s="344"/>
      <c r="AA14" s="344"/>
      <c r="AB14" s="344"/>
    </row>
    <row r="15" spans="1:33" ht="20.100000000000001" customHeight="1">
      <c r="A15" s="1082"/>
      <c r="B15" s="266" t="s">
        <v>1102</v>
      </c>
      <c r="C15" s="267">
        <f>IF(C13=G14,0.1,IF(OR(C13=H14,C13=I14,C13=J14),0.2,IF(OR(C13=K14,C13=L14,M13=M14),0.25,0.1)))</f>
        <v>0.1</v>
      </c>
      <c r="D15" s="348"/>
      <c r="F15" s="354" t="s">
        <v>1107</v>
      </c>
      <c r="G15" s="355" t="s">
        <v>1111</v>
      </c>
      <c r="H15" s="346" t="s">
        <v>1112</v>
      </c>
      <c r="I15" s="346" t="s">
        <v>1112</v>
      </c>
      <c r="J15" s="346" t="s">
        <v>1112</v>
      </c>
      <c r="K15" s="346" t="s">
        <v>1112</v>
      </c>
      <c r="L15" s="346" t="s">
        <v>1112</v>
      </c>
      <c r="M15" s="346" t="s">
        <v>1112</v>
      </c>
      <c r="Y15" s="344"/>
      <c r="Z15" s="344"/>
      <c r="AA15" s="344"/>
      <c r="AB15" s="344"/>
    </row>
    <row r="16" spans="1:33" ht="20.100000000000001" customHeight="1">
      <c r="A16" s="1082"/>
      <c r="B16" s="266" t="s">
        <v>1117</v>
      </c>
      <c r="C16" s="287">
        <f>9.80665*C7*(C14+C15)*C12/1000</f>
        <v>0.13729309999999997</v>
      </c>
      <c r="D16" s="348" t="s">
        <v>1131</v>
      </c>
      <c r="F16" s="347" t="s">
        <v>1113</v>
      </c>
      <c r="G16" s="346">
        <v>0.05</v>
      </c>
      <c r="H16" s="1212">
        <v>0.08</v>
      </c>
      <c r="I16" s="1212"/>
      <c r="J16" s="1212"/>
      <c r="K16" s="1212"/>
      <c r="L16" s="1212"/>
      <c r="M16" s="1212"/>
      <c r="Y16" s="344"/>
      <c r="Z16" s="344"/>
    </row>
    <row r="17" spans="1:29" ht="20.100000000000001" customHeight="1">
      <c r="A17" s="1082"/>
      <c r="B17" s="266" t="s">
        <v>1129</v>
      </c>
      <c r="C17" s="287">
        <f>0.6*C16</f>
        <v>8.2375859999999981E-2</v>
      </c>
      <c r="D17" s="348"/>
      <c r="F17" s="347" t="s">
        <v>1114</v>
      </c>
      <c r="G17" s="346">
        <v>0.1</v>
      </c>
      <c r="H17" s="1212">
        <v>0.1</v>
      </c>
      <c r="I17" s="1212"/>
      <c r="J17" s="1212"/>
      <c r="K17" s="1223">
        <v>0.15</v>
      </c>
      <c r="L17" s="1223"/>
      <c r="M17" s="1223"/>
      <c r="Y17" s="344"/>
      <c r="Z17" s="344"/>
      <c r="AA17" s="344"/>
      <c r="AB17" s="344"/>
    </row>
    <row r="18" spans="1:29" ht="20.100000000000001" customHeight="1">
      <c r="A18" s="1083"/>
      <c r="B18" s="345" t="s">
        <v>1118</v>
      </c>
      <c r="C18" s="370" t="s">
        <v>1142</v>
      </c>
      <c r="D18" s="348" t="s">
        <v>1155</v>
      </c>
      <c r="F18" s="347" t="s">
        <v>1116</v>
      </c>
      <c r="G18" s="346">
        <v>0.1</v>
      </c>
      <c r="H18" s="1212">
        <v>0.2</v>
      </c>
      <c r="I18" s="1212"/>
      <c r="J18" s="1212"/>
      <c r="K18" s="1212">
        <v>0.25</v>
      </c>
      <c r="L18" s="1212"/>
      <c r="M18" s="1212"/>
      <c r="Y18" s="344"/>
      <c r="Z18" s="344"/>
      <c r="AA18" s="344"/>
      <c r="AB18" s="344"/>
    </row>
    <row r="19" spans="1:29" ht="20.100000000000001" customHeight="1">
      <c r="A19" s="1081" t="s">
        <v>1138</v>
      </c>
      <c r="B19" s="266" t="s">
        <v>1140</v>
      </c>
      <c r="C19" s="326">
        <v>1.57</v>
      </c>
      <c r="D19" s="348" t="s">
        <v>1120</v>
      </c>
      <c r="Y19" s="344"/>
      <c r="Z19" s="344"/>
      <c r="AA19" s="344"/>
      <c r="AB19" s="344"/>
    </row>
    <row r="20" spans="1:29" ht="20.100000000000001" customHeight="1">
      <c r="A20" s="1216"/>
      <c r="B20" s="266" t="s">
        <v>1121</v>
      </c>
      <c r="C20" s="356">
        <f>MAX(C8,C9)*9.80665/1000</f>
        <v>0.61291562499999996</v>
      </c>
      <c r="D20" s="357"/>
      <c r="F20" s="349" t="s">
        <v>1122</v>
      </c>
      <c r="Y20" s="344"/>
      <c r="Z20" s="344"/>
    </row>
    <row r="21" spans="1:29" ht="20.100000000000001" customHeight="1">
      <c r="A21" s="1217"/>
      <c r="B21" s="358" t="s">
        <v>1130</v>
      </c>
      <c r="C21" s="359" t="str">
        <f>IF(C20&lt;C19,"G＜[G]","G≥[G]")</f>
        <v>G＜[G]</v>
      </c>
      <c r="D21" s="291" t="str">
        <f>IF(C20&lt;C19,"校验合格","不合格，请重选链条型号")</f>
        <v>校验合格</v>
      </c>
      <c r="Y21" s="344"/>
      <c r="Z21" s="344"/>
    </row>
    <row r="22" spans="1:29" ht="20.100000000000001" customHeight="1">
      <c r="A22" s="1218" t="s">
        <v>1143</v>
      </c>
      <c r="B22" s="266" t="s">
        <v>1124</v>
      </c>
      <c r="C22" s="371">
        <v>1.4</v>
      </c>
      <c r="D22" s="348" t="s">
        <v>1152</v>
      </c>
      <c r="R22" s="343"/>
      <c r="Y22" s="344"/>
      <c r="Z22" s="344"/>
    </row>
    <row r="23" spans="1:29" ht="20.100000000000001" customHeight="1">
      <c r="A23" s="1219"/>
      <c r="B23" s="266" t="s">
        <v>1127</v>
      </c>
      <c r="C23" s="356">
        <f>IF(C13=G14,0.05,0.08)</f>
        <v>0.05</v>
      </c>
      <c r="D23" s="348" t="s">
        <v>1153</v>
      </c>
      <c r="F23" s="343"/>
      <c r="G23" s="343"/>
      <c r="H23" s="343"/>
      <c r="I23" s="343"/>
      <c r="J23" s="343"/>
      <c r="K23" s="343"/>
      <c r="L23" s="343"/>
      <c r="M23" s="343"/>
      <c r="N23" s="343"/>
      <c r="O23" s="343"/>
      <c r="P23" s="343"/>
      <c r="Q23" s="343"/>
      <c r="R23" s="343"/>
      <c r="S23" s="343"/>
      <c r="T23" s="343"/>
      <c r="U23" s="343"/>
      <c r="V23" s="343"/>
      <c r="W23" s="343"/>
      <c r="X23" s="343"/>
      <c r="Y23" s="344"/>
      <c r="Z23" s="344"/>
      <c r="AA23" s="343"/>
      <c r="AB23" s="343"/>
      <c r="AC23" s="343"/>
    </row>
    <row r="24" spans="1:29" ht="20.100000000000001" customHeight="1">
      <c r="A24" s="1219"/>
      <c r="B24" s="266" t="s">
        <v>1126</v>
      </c>
      <c r="C24" s="360">
        <f>((C9+C22)*C23*(C5-C6)+C8*C14*C6+(C8+C22)*C15*C6+1.1*C22*C23*C5)*9.80665/1000</f>
        <v>0.13827376499999999</v>
      </c>
      <c r="D24" s="348" t="s">
        <v>1132</v>
      </c>
      <c r="AC24" s="343"/>
    </row>
    <row r="25" spans="1:29" ht="20.100000000000001" customHeight="1">
      <c r="A25" s="1219"/>
      <c r="B25" s="266" t="s">
        <v>1133</v>
      </c>
      <c r="C25" s="360">
        <f>0.6*C24</f>
        <v>8.2964258999999999E-2</v>
      </c>
      <c r="D25" s="291"/>
      <c r="AC25" s="343"/>
    </row>
    <row r="26" spans="1:29" ht="20.100000000000001" customHeight="1">
      <c r="A26" s="1219"/>
      <c r="B26" s="361" t="s">
        <v>1139</v>
      </c>
      <c r="C26" s="372">
        <v>0.98</v>
      </c>
      <c r="D26" s="362" t="s">
        <v>310</v>
      </c>
      <c r="AC26" s="343"/>
    </row>
    <row r="27" spans="1:29" ht="20.100000000000001" customHeight="1">
      <c r="A27" s="1220"/>
      <c r="B27" s="358" t="s">
        <v>1130</v>
      </c>
      <c r="C27" s="359" t="str">
        <f>IF(C25&lt;C26,"F＜[F]","F≥[F]")</f>
        <v>F＜[F]</v>
      </c>
      <c r="D27" s="291" t="str">
        <f>IF(C25&lt;C26,"校验合格","不合格，请重选链条型号")</f>
        <v>校验合格</v>
      </c>
      <c r="AC27" s="343"/>
    </row>
    <row r="28" spans="1:29" ht="20.100000000000001" customHeight="1">
      <c r="A28" s="1081" t="s">
        <v>1157</v>
      </c>
      <c r="B28" s="266" t="s">
        <v>1144</v>
      </c>
      <c r="C28" s="363">
        <v>10</v>
      </c>
      <c r="D28" s="348" t="s">
        <v>142</v>
      </c>
      <c r="AC28" s="343"/>
    </row>
    <row r="29" spans="1:29" ht="20.100000000000001" customHeight="1">
      <c r="A29" s="1082"/>
      <c r="B29" s="266" t="s">
        <v>1147</v>
      </c>
      <c r="C29" s="373">
        <v>19.05</v>
      </c>
      <c r="D29" s="348" t="s">
        <v>141</v>
      </c>
      <c r="AC29" s="343"/>
    </row>
    <row r="30" spans="1:29" ht="20.100000000000001" customHeight="1">
      <c r="A30" s="1082"/>
      <c r="B30" s="266" t="s">
        <v>1148</v>
      </c>
      <c r="C30" s="360">
        <f>60*C4/(C28*C29)</f>
        <v>62.99212598425197</v>
      </c>
      <c r="D30" s="1213" t="s">
        <v>1150</v>
      </c>
      <c r="AC30" s="343"/>
    </row>
    <row r="31" spans="1:29" ht="20.100000000000001" customHeight="1">
      <c r="A31" s="1082"/>
      <c r="B31" s="266" t="s">
        <v>1149</v>
      </c>
      <c r="C31" s="360">
        <f>IF(C29=P51,C26*61.65/2,IF(C29=P52,C26*82.2/2,IF(C29=P53,C26*102.75/2,IF(C29=P54,C26*123.3/2,IF(C29=P55,C26*164.39/2,"请在C29选择节距")))))</f>
        <v>30.208499999999997</v>
      </c>
      <c r="D31" s="1214"/>
      <c r="AC31" s="343"/>
    </row>
    <row r="32" spans="1:29" ht="20.100000000000001" customHeight="1">
      <c r="A32" s="1083"/>
      <c r="B32" s="266" t="s">
        <v>1156</v>
      </c>
      <c r="C32" s="360">
        <f>C31*C30/9549</f>
        <v>0.19927716387006758</v>
      </c>
      <c r="D32" s="1215"/>
      <c r="AC32" s="343"/>
    </row>
    <row r="33" spans="1:29" ht="20.100000000000001" customHeight="1">
      <c r="A33" s="364" t="s">
        <v>1091</v>
      </c>
      <c r="B33" s="1007" t="str">
        <f>C18</f>
        <v>RF 2030 VR</v>
      </c>
      <c r="C33" s="1210"/>
      <c r="D33" s="1211"/>
      <c r="AC33" s="343"/>
    </row>
    <row r="34" spans="1:29" ht="20.100000000000001" customHeight="1" thickBot="1">
      <c r="AC34" s="343"/>
    </row>
    <row r="35" spans="1:29" ht="20.100000000000001" customHeight="1">
      <c r="A35" s="1028" t="s">
        <v>1141</v>
      </c>
      <c r="B35" s="1029"/>
      <c r="C35" s="1029"/>
      <c r="D35" s="1030"/>
      <c r="AC35" s="343"/>
    </row>
    <row r="36" spans="1:29" ht="20.100000000000001" customHeight="1">
      <c r="A36" s="1031"/>
      <c r="B36" s="1032"/>
      <c r="C36" s="1032"/>
      <c r="D36" s="1033"/>
      <c r="AC36" s="343"/>
    </row>
    <row r="37" spans="1:29" ht="20.100000000000001" customHeight="1">
      <c r="A37" s="1031"/>
      <c r="B37" s="1032"/>
      <c r="C37" s="1032"/>
      <c r="D37" s="1033"/>
      <c r="AC37" s="343"/>
    </row>
    <row r="38" spans="1:29" ht="20.100000000000001" customHeight="1">
      <c r="A38" s="1031"/>
      <c r="B38" s="1032"/>
      <c r="C38" s="1032"/>
      <c r="D38" s="1033"/>
      <c r="AC38" s="343"/>
    </row>
    <row r="39" spans="1:29" ht="20.100000000000001" customHeight="1">
      <c r="A39" s="1031"/>
      <c r="B39" s="1032"/>
      <c r="C39" s="1032"/>
      <c r="D39" s="1033"/>
      <c r="AC39" s="343"/>
    </row>
    <row r="40" spans="1:29" ht="20.100000000000001" customHeight="1">
      <c r="A40" s="1031"/>
      <c r="B40" s="1032"/>
      <c r="C40" s="1032"/>
      <c r="D40" s="1033"/>
      <c r="F40" s="349" t="s">
        <v>1123</v>
      </c>
      <c r="AC40" s="343"/>
    </row>
    <row r="41" spans="1:29" ht="20.100000000000001" customHeight="1">
      <c r="A41" s="1031"/>
      <c r="B41" s="1032"/>
      <c r="C41" s="1032"/>
      <c r="D41" s="1033"/>
      <c r="AC41" s="343"/>
    </row>
    <row r="42" spans="1:29" ht="20.100000000000001" customHeight="1">
      <c r="A42" s="1031"/>
      <c r="B42" s="1032"/>
      <c r="C42" s="1032"/>
      <c r="D42" s="1033"/>
      <c r="AC42" s="343"/>
    </row>
    <row r="43" spans="1:29" ht="20.100000000000001" customHeight="1">
      <c r="A43" s="1031"/>
      <c r="B43" s="1032"/>
      <c r="C43" s="1032"/>
      <c r="D43" s="1033"/>
      <c r="AC43" s="343"/>
    </row>
    <row r="44" spans="1:29" ht="20.100000000000001" customHeight="1">
      <c r="A44" s="1031"/>
      <c r="B44" s="1032"/>
      <c r="C44" s="1032"/>
      <c r="D44" s="1033"/>
      <c r="AC44" s="343"/>
    </row>
    <row r="45" spans="1:29" ht="20.100000000000001" customHeight="1" thickBot="1">
      <c r="A45" s="1031"/>
      <c r="B45" s="1032"/>
      <c r="C45" s="1032"/>
      <c r="D45" s="1033"/>
      <c r="AC45" s="343"/>
    </row>
    <row r="46" spans="1:29" ht="20.100000000000001" customHeight="1">
      <c r="A46" s="1028" t="s">
        <v>1151</v>
      </c>
      <c r="B46" s="1029"/>
      <c r="C46" s="1029"/>
      <c r="D46" s="1030"/>
      <c r="AC46" s="343"/>
    </row>
    <row r="47" spans="1:29" ht="20.100000000000001" customHeight="1">
      <c r="A47" s="1031"/>
      <c r="B47" s="1032"/>
      <c r="C47" s="1032"/>
      <c r="D47" s="1033"/>
      <c r="AC47" s="343"/>
    </row>
    <row r="48" spans="1:29" ht="20.100000000000001" customHeight="1">
      <c r="A48" s="1031"/>
      <c r="B48" s="1032"/>
      <c r="C48" s="1032"/>
      <c r="D48" s="1033"/>
      <c r="AC48" s="343"/>
    </row>
    <row r="49" spans="1:29" ht="20.100000000000001" customHeight="1" thickBot="1">
      <c r="A49" s="1075"/>
      <c r="B49" s="1076"/>
      <c r="C49" s="1076"/>
      <c r="D49" s="1077"/>
      <c r="F49" s="262" t="s">
        <v>1135</v>
      </c>
      <c r="AC49" s="343"/>
    </row>
    <row r="50" spans="1:29" ht="20.100000000000001" customHeight="1">
      <c r="A50" s="365"/>
      <c r="B50" s="365"/>
      <c r="C50" s="365"/>
      <c r="D50" s="365"/>
      <c r="P50" s="366" t="s">
        <v>1145</v>
      </c>
      <c r="AB50" s="343"/>
    </row>
    <row r="51" spans="1:29" ht="20.100000000000001" customHeight="1">
      <c r="A51" s="367" t="s">
        <v>1134</v>
      </c>
      <c r="B51" s="365"/>
      <c r="C51" s="365"/>
      <c r="D51" s="365"/>
      <c r="P51" s="368">
        <v>19.05</v>
      </c>
      <c r="AB51" s="343"/>
    </row>
    <row r="52" spans="1:29" ht="20.100000000000001" customHeight="1">
      <c r="A52" s="367"/>
      <c r="B52" s="365"/>
      <c r="C52" s="365"/>
      <c r="D52" s="365"/>
      <c r="P52" s="368">
        <v>25.4</v>
      </c>
      <c r="AB52" s="343"/>
    </row>
    <row r="53" spans="1:29" ht="20.100000000000001" customHeight="1">
      <c r="A53" s="365"/>
      <c r="B53" s="365"/>
      <c r="C53" s="365"/>
      <c r="D53" s="365"/>
      <c r="P53" s="368">
        <v>31.75</v>
      </c>
      <c r="AB53" s="343"/>
    </row>
    <row r="54" spans="1:29" ht="20.100000000000001" customHeight="1">
      <c r="A54" s="365"/>
      <c r="B54" s="365"/>
      <c r="C54" s="365"/>
      <c r="D54" s="365"/>
      <c r="P54" s="368">
        <v>38.1</v>
      </c>
      <c r="AB54" s="343"/>
    </row>
    <row r="55" spans="1:29" ht="20.100000000000001" customHeight="1">
      <c r="A55" s="365"/>
      <c r="B55" s="365"/>
      <c r="C55" s="365"/>
      <c r="D55" s="365"/>
      <c r="P55" s="368">
        <v>50.8</v>
      </c>
      <c r="AB55" s="343"/>
    </row>
    <row r="56" spans="1:29" ht="20.100000000000001" customHeight="1">
      <c r="A56" s="365"/>
      <c r="B56" s="365"/>
      <c r="C56" s="365"/>
      <c r="D56" s="365"/>
      <c r="AB56" s="343"/>
    </row>
    <row r="57" spans="1:29" ht="20.100000000000001" customHeight="1">
      <c r="A57" s="365"/>
      <c r="B57" s="365"/>
      <c r="C57" s="365"/>
      <c r="D57" s="365"/>
      <c r="AB57" s="343"/>
    </row>
    <row r="58" spans="1:29" ht="20.100000000000001" customHeight="1">
      <c r="AC58" s="343"/>
    </row>
    <row r="59" spans="1:29" ht="20.100000000000001" customHeight="1">
      <c r="AC59" s="343"/>
    </row>
    <row r="60" spans="1:29" ht="20.100000000000001" customHeight="1">
      <c r="F60" s="261" t="s">
        <v>1146</v>
      </c>
      <c r="G60" s="261"/>
      <c r="H60" s="261"/>
      <c r="I60" s="276"/>
      <c r="J60" s="276"/>
      <c r="K60" s="276"/>
      <c r="L60" s="276"/>
      <c r="AC60" s="343"/>
    </row>
    <row r="61" spans="1:29" ht="20.100000000000001" customHeight="1">
      <c r="AC61" s="343"/>
    </row>
    <row r="62" spans="1:29" ht="20.100000000000001" customHeight="1">
      <c r="AC62" s="343"/>
    </row>
    <row r="63" spans="1:29" ht="20.100000000000001" customHeight="1">
      <c r="AC63" s="343"/>
    </row>
    <row r="64" spans="1:29" ht="20.100000000000001" customHeight="1">
      <c r="AC64" s="343"/>
    </row>
    <row r="65" spans="29:29" ht="20.100000000000001" customHeight="1">
      <c r="AC65" s="343"/>
    </row>
    <row r="66" spans="29:29" ht="20.100000000000001" customHeight="1">
      <c r="AC66" s="343"/>
    </row>
    <row r="67" spans="29:29" ht="20.100000000000001" customHeight="1">
      <c r="AC67" s="343"/>
    </row>
    <row r="68" spans="29:29" ht="20.100000000000001" customHeight="1">
      <c r="AC68" s="343"/>
    </row>
    <row r="69" spans="29:29" ht="20.100000000000001" customHeight="1">
      <c r="AC69" s="343"/>
    </row>
    <row r="70" spans="29:29" ht="20.100000000000001" customHeight="1">
      <c r="AC70" s="343"/>
    </row>
    <row r="71" spans="29:29" ht="20.100000000000001" customHeight="1">
      <c r="AC71" s="343"/>
    </row>
    <row r="72" spans="29:29" ht="20.100000000000001" customHeight="1">
      <c r="AC72" s="343"/>
    </row>
    <row r="73" spans="29:29" ht="20.100000000000001" customHeight="1">
      <c r="AC73" s="343"/>
    </row>
    <row r="74" spans="29:29" ht="20.100000000000001" customHeight="1">
      <c r="AC74" s="343"/>
    </row>
    <row r="75" spans="29:29" ht="20.100000000000001" customHeight="1">
      <c r="AC75" s="343"/>
    </row>
    <row r="76" spans="29:29" ht="20.100000000000001" customHeight="1">
      <c r="AC76" s="343"/>
    </row>
    <row r="77" spans="29:29" ht="20.100000000000001" customHeight="1">
      <c r="AC77" s="343"/>
    </row>
    <row r="78" spans="29:29" ht="20.100000000000001" customHeight="1">
      <c r="AC78" s="343"/>
    </row>
    <row r="79" spans="29:29" ht="20.100000000000001" customHeight="1">
      <c r="AC79" s="343"/>
    </row>
    <row r="80" spans="29:29" ht="20.100000000000001" customHeight="1">
      <c r="AC80" s="343"/>
    </row>
    <row r="81" spans="29:29" ht="20.100000000000001" customHeight="1">
      <c r="AC81" s="343"/>
    </row>
    <row r="82" spans="29:29" ht="20.100000000000001" customHeight="1">
      <c r="AC82" s="343"/>
    </row>
    <row r="83" spans="29:29" ht="20.100000000000001" customHeight="1">
      <c r="AC83" s="343"/>
    </row>
    <row r="84" spans="29:29" ht="20.100000000000001" customHeight="1">
      <c r="AC84" s="343"/>
    </row>
    <row r="85" spans="29:29" ht="20.100000000000001" customHeight="1">
      <c r="AC85" s="343"/>
    </row>
    <row r="86" spans="29:29" ht="20.100000000000001" customHeight="1">
      <c r="AC86" s="343"/>
    </row>
    <row r="87" spans="29:29" ht="20.100000000000001" customHeight="1">
      <c r="AC87" s="343"/>
    </row>
    <row r="88" spans="29:29" ht="20.100000000000001" customHeight="1">
      <c r="AC88" s="343"/>
    </row>
    <row r="89" spans="29:29" ht="20.100000000000001" customHeight="1">
      <c r="AC89" s="343"/>
    </row>
    <row r="90" spans="29:29" ht="20.100000000000001" customHeight="1">
      <c r="AC90" s="343"/>
    </row>
    <row r="91" spans="29:29" ht="20.100000000000001" customHeight="1">
      <c r="AC91" s="343"/>
    </row>
  </sheetData>
  <sheetProtection password="828E" sheet="1" objects="1" scenarios="1"/>
  <mergeCells count="17">
    <mergeCell ref="K18:M18"/>
    <mergeCell ref="A10:A18"/>
    <mergeCell ref="A19:A21"/>
    <mergeCell ref="A22:A27"/>
    <mergeCell ref="F13:F14"/>
    <mergeCell ref="H13:M13"/>
    <mergeCell ref="H16:M16"/>
    <mergeCell ref="H17:J17"/>
    <mergeCell ref="K17:M17"/>
    <mergeCell ref="B33:D33"/>
    <mergeCell ref="A1:D1"/>
    <mergeCell ref="H18:J18"/>
    <mergeCell ref="A4:A9"/>
    <mergeCell ref="A46:D49"/>
    <mergeCell ref="A35:D45"/>
    <mergeCell ref="A28:A32"/>
    <mergeCell ref="D30:D32"/>
  </mergeCells>
  <phoneticPr fontId="4" type="noConversion"/>
  <dataValidations count="2">
    <dataValidation type="list" allowBlank="1" showInputMessage="1" showErrorMessage="1" prompt="请选择" sqref="C13">
      <formula1>$G$14:$M$14</formula1>
    </dataValidation>
    <dataValidation type="list" allowBlank="1" showInputMessage="1" showErrorMessage="1" prompt="请选择" sqref="C29">
      <formula1>$P$51:$P$55</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sheetPr codeName="Sheet10"/>
  <dimension ref="A1:AC107"/>
  <sheetViews>
    <sheetView workbookViewId="0">
      <selection sqref="A1:XFD1"/>
    </sheetView>
  </sheetViews>
  <sheetFormatPr defaultColWidth="15.625" defaultRowHeight="20.100000000000001" customHeight="1"/>
  <cols>
    <col min="1" max="1" width="15.625" style="262"/>
    <col min="2" max="2" width="25.875" style="262" customWidth="1"/>
    <col min="3" max="3" width="15.625" style="263"/>
    <col min="4" max="4" width="16.625" style="262" customWidth="1"/>
    <col min="5" max="5" width="7.875" style="262" customWidth="1"/>
    <col min="6" max="18" width="10.625" style="262" customWidth="1"/>
    <col min="19" max="25" width="8.625" style="262" customWidth="1"/>
    <col min="26" max="16384" width="15.625" style="262"/>
  </cols>
  <sheetData>
    <row r="1" spans="1:29" ht="21.95" customHeight="1">
      <c r="A1" s="1051" t="s">
        <v>1204</v>
      </c>
      <c r="B1" s="776"/>
      <c r="C1" s="776"/>
      <c r="D1" s="776"/>
    </row>
    <row r="2" spans="1:29" ht="20.100000000000001" customHeight="1">
      <c r="A2" s="333" t="s">
        <v>1253</v>
      </c>
      <c r="F2" s="333" t="s">
        <v>1173</v>
      </c>
      <c r="N2" s="262" t="s">
        <v>1203</v>
      </c>
    </row>
    <row r="3" spans="1:29" ht="20.100000000000001" customHeight="1">
      <c r="A3" s="266" t="s">
        <v>753</v>
      </c>
      <c r="B3" s="266" t="s">
        <v>754</v>
      </c>
      <c r="C3" s="267" t="s">
        <v>755</v>
      </c>
      <c r="D3" s="266" t="s">
        <v>762</v>
      </c>
      <c r="H3" s="374"/>
      <c r="I3" s="374"/>
      <c r="K3" s="263"/>
      <c r="T3" s="342"/>
      <c r="U3" s="342"/>
      <c r="V3" s="342"/>
      <c r="W3" s="342"/>
      <c r="X3" s="342"/>
      <c r="Y3" s="342">
        <v>0</v>
      </c>
      <c r="Z3" s="342"/>
      <c r="AA3" s="342"/>
      <c r="AB3" s="342"/>
    </row>
    <row r="4" spans="1:29" ht="20.100000000000001" customHeight="1">
      <c r="A4" s="1226" t="s">
        <v>756</v>
      </c>
      <c r="B4" s="266" t="s">
        <v>1507</v>
      </c>
      <c r="C4" s="326">
        <v>0</v>
      </c>
      <c r="D4" s="266" t="s">
        <v>1494</v>
      </c>
      <c r="T4" s="342"/>
      <c r="U4" s="342"/>
      <c r="V4" s="342"/>
      <c r="W4" s="342"/>
      <c r="X4" s="342"/>
      <c r="Y4" s="342">
        <v>2</v>
      </c>
      <c r="Z4" s="342"/>
      <c r="AA4" s="342"/>
      <c r="AB4" s="342"/>
    </row>
    <row r="5" spans="1:29" ht="20.100000000000001" customHeight="1">
      <c r="A5" s="1216"/>
      <c r="B5" s="266" t="s">
        <v>1160</v>
      </c>
      <c r="C5" s="326">
        <v>10</v>
      </c>
      <c r="D5" s="266"/>
      <c r="U5" s="343"/>
      <c r="V5" s="343"/>
      <c r="W5" s="343"/>
      <c r="X5" s="343"/>
      <c r="Y5" s="343">
        <v>2</v>
      </c>
      <c r="Z5" s="343"/>
      <c r="AA5" s="343"/>
      <c r="AB5" s="343"/>
      <c r="AC5" s="343"/>
    </row>
    <row r="6" spans="1:29" ht="20.100000000000001" customHeight="1">
      <c r="A6" s="1216"/>
      <c r="B6" s="266" t="s">
        <v>1169</v>
      </c>
      <c r="C6" s="326">
        <v>0.5</v>
      </c>
      <c r="D6" s="345" t="s">
        <v>1168</v>
      </c>
      <c r="U6" s="344"/>
      <c r="V6" s="344"/>
      <c r="W6" s="344"/>
      <c r="X6" s="344"/>
      <c r="Y6" s="343">
        <v>2</v>
      </c>
      <c r="Z6" s="344"/>
      <c r="AA6" s="344"/>
      <c r="AB6" s="344"/>
      <c r="AC6" s="344"/>
    </row>
    <row r="7" spans="1:29" ht="20.100000000000001" customHeight="1">
      <c r="A7" s="1216"/>
      <c r="B7" s="266" t="s">
        <v>1264</v>
      </c>
      <c r="C7" s="326">
        <v>0.02</v>
      </c>
      <c r="D7" s="345" t="s">
        <v>1206</v>
      </c>
      <c r="U7" s="344"/>
      <c r="V7" s="344"/>
      <c r="W7" s="344"/>
      <c r="X7" s="344"/>
      <c r="Y7" s="349">
        <v>0</v>
      </c>
    </row>
    <row r="8" spans="1:29" ht="20.100000000000001" customHeight="1">
      <c r="A8" s="1216"/>
      <c r="B8" s="266" t="s">
        <v>1217</v>
      </c>
      <c r="C8" s="326">
        <v>0.5</v>
      </c>
      <c r="D8" s="266" t="s">
        <v>1174</v>
      </c>
      <c r="F8" s="262" t="s">
        <v>1175</v>
      </c>
      <c r="S8" s="344"/>
      <c r="T8" s="344"/>
      <c r="U8" s="344"/>
      <c r="V8" s="344"/>
      <c r="W8" s="344"/>
      <c r="X8" s="344"/>
      <c r="Y8" s="343"/>
      <c r="Z8" s="344"/>
      <c r="AA8" s="344"/>
    </row>
    <row r="9" spans="1:29" ht="20.100000000000001" customHeight="1">
      <c r="A9" s="1216"/>
      <c r="B9" s="266" t="s">
        <v>1495</v>
      </c>
      <c r="C9" s="326">
        <v>1</v>
      </c>
      <c r="D9" s="266" t="s">
        <v>1496</v>
      </c>
      <c r="F9" s="288" t="s">
        <v>1162</v>
      </c>
      <c r="G9" s="375" t="s">
        <v>1178</v>
      </c>
      <c r="H9" s="376" t="s">
        <v>1163</v>
      </c>
      <c r="I9" s="346" t="s">
        <v>1165</v>
      </c>
      <c r="J9" s="347" t="s">
        <v>1166</v>
      </c>
      <c r="N9" s="333" t="s">
        <v>1201</v>
      </c>
      <c r="T9" s="344"/>
      <c r="U9" s="344"/>
      <c r="V9" s="344"/>
      <c r="W9" s="344"/>
      <c r="X9" s="344"/>
      <c r="Y9" s="343"/>
      <c r="Z9" s="344"/>
      <c r="AA9" s="344"/>
      <c r="AB9" s="344"/>
    </row>
    <row r="10" spans="1:29" ht="20.100000000000001" customHeight="1">
      <c r="A10" s="1216"/>
      <c r="B10" s="266" t="s">
        <v>1498</v>
      </c>
      <c r="C10" s="326">
        <v>0.1</v>
      </c>
      <c r="D10" s="266" t="s">
        <v>1497</v>
      </c>
      <c r="F10" s="266" t="s">
        <v>1164</v>
      </c>
      <c r="G10" s="377" t="s">
        <v>1179</v>
      </c>
      <c r="H10" s="353" t="s">
        <v>1180</v>
      </c>
      <c r="I10" s="346" t="s">
        <v>1167</v>
      </c>
      <c r="J10" s="346" t="s">
        <v>1181</v>
      </c>
      <c r="Q10" s="344"/>
      <c r="R10" s="344"/>
      <c r="S10" s="344"/>
      <c r="T10" s="344"/>
      <c r="U10" s="344"/>
      <c r="V10" s="344"/>
      <c r="W10" s="344"/>
      <c r="X10" s="344"/>
      <c r="Y10" s="344"/>
    </row>
    <row r="11" spans="1:29" ht="20.100000000000001" customHeight="1">
      <c r="A11" s="1216"/>
      <c r="B11" s="266" t="s">
        <v>1499</v>
      </c>
      <c r="C11" s="326">
        <v>0.1</v>
      </c>
      <c r="D11" s="266" t="s">
        <v>1502</v>
      </c>
      <c r="F11" s="343"/>
      <c r="G11" s="343"/>
      <c r="H11" s="343"/>
      <c r="V11" s="344"/>
      <c r="W11" s="344"/>
      <c r="X11" s="344"/>
      <c r="Y11" s="344"/>
    </row>
    <row r="12" spans="1:29" ht="20.100000000000001" customHeight="1">
      <c r="A12" s="1217"/>
      <c r="B12" s="345" t="s">
        <v>1504</v>
      </c>
      <c r="C12" s="326">
        <v>90</v>
      </c>
      <c r="D12" s="266"/>
      <c r="F12" s="349" t="s">
        <v>1176</v>
      </c>
      <c r="G12" s="343"/>
      <c r="H12" s="343"/>
      <c r="V12" s="344"/>
      <c r="W12" s="344"/>
      <c r="X12" s="344"/>
      <c r="Y12" s="344"/>
    </row>
    <row r="13" spans="1:29" ht="20.100000000000001" customHeight="1">
      <c r="A13" s="1081" t="s">
        <v>1197</v>
      </c>
      <c r="B13" s="266" t="s">
        <v>1500</v>
      </c>
      <c r="C13" s="378">
        <f>2*C12/1000/(2*C9-C10-C11)</f>
        <v>0.1</v>
      </c>
      <c r="D13" s="266" t="str">
        <f>ROUND(C13*1000,2)&amp;" mm/s"</f>
        <v>100 mm/s</v>
      </c>
      <c r="F13" s="343"/>
      <c r="G13" s="343"/>
      <c r="H13" s="343"/>
      <c r="V13" s="344"/>
      <c r="W13" s="344"/>
      <c r="X13" s="344"/>
      <c r="Y13" s="344"/>
    </row>
    <row r="14" spans="1:29" ht="20.100000000000001" customHeight="1">
      <c r="A14" s="1082"/>
      <c r="B14" s="266" t="s">
        <v>1501</v>
      </c>
      <c r="C14" s="378">
        <f>C13/C10</f>
        <v>1</v>
      </c>
      <c r="D14" s="266"/>
      <c r="F14" s="343"/>
      <c r="G14" s="343"/>
      <c r="H14" s="343"/>
      <c r="V14" s="344"/>
      <c r="W14" s="344"/>
      <c r="X14" s="344"/>
      <c r="Y14" s="344"/>
    </row>
    <row r="15" spans="1:29" ht="20.100000000000001" customHeight="1">
      <c r="A15" s="1082"/>
      <c r="B15" s="266" t="s">
        <v>1177</v>
      </c>
      <c r="C15" s="287">
        <f>9.8*C5*(SIN(RADIANS(C4))+COS(RADIANS(C4))*C7)+C5*C14</f>
        <v>11.96</v>
      </c>
      <c r="D15" s="266" t="s">
        <v>1207</v>
      </c>
      <c r="F15" s="343"/>
      <c r="G15" s="343"/>
      <c r="H15" s="343"/>
      <c r="V15" s="344"/>
      <c r="W15" s="344"/>
      <c r="X15" s="344"/>
    </row>
    <row r="16" spans="1:29" ht="20.100000000000001" customHeight="1">
      <c r="A16" s="1082"/>
      <c r="B16" s="266" t="s">
        <v>1161</v>
      </c>
      <c r="C16" s="284">
        <f>C15/C8</f>
        <v>23.92</v>
      </c>
      <c r="D16" s="266" t="s">
        <v>1208</v>
      </c>
      <c r="F16" s="343"/>
      <c r="G16" s="343"/>
      <c r="H16" s="343"/>
      <c r="V16" s="344"/>
      <c r="W16" s="344"/>
      <c r="Y16" s="344"/>
    </row>
    <row r="17" spans="1:27" ht="20.100000000000001" customHeight="1">
      <c r="A17" s="1082"/>
      <c r="B17" s="266" t="s">
        <v>1171</v>
      </c>
      <c r="C17" s="284">
        <f>SQRT(4*C16/PI()/C6)</f>
        <v>7.8045999141615319</v>
      </c>
      <c r="D17" s="266" t="s">
        <v>1211</v>
      </c>
      <c r="F17" s="343"/>
      <c r="G17" s="343"/>
      <c r="H17" s="343"/>
      <c r="V17" s="344"/>
      <c r="W17" s="344"/>
      <c r="X17" s="344"/>
      <c r="Y17" s="344"/>
    </row>
    <row r="18" spans="1:27" ht="20.100000000000001" customHeight="1">
      <c r="A18" s="1082"/>
      <c r="B18" s="266" t="s">
        <v>1172</v>
      </c>
      <c r="C18" s="379">
        <v>4</v>
      </c>
      <c r="D18" s="266"/>
      <c r="F18" s="343"/>
      <c r="G18" s="343"/>
      <c r="H18" s="343"/>
      <c r="V18" s="344"/>
      <c r="W18" s="344"/>
      <c r="X18" s="344"/>
      <c r="Y18" s="344"/>
    </row>
    <row r="19" spans="1:27" ht="20.100000000000001" customHeight="1">
      <c r="A19" s="1083"/>
      <c r="B19" s="266" t="s">
        <v>1170</v>
      </c>
      <c r="C19" s="284">
        <f>SQRT(4*C16/PI()/C6+C18^2)</f>
        <v>8.7699361354647394</v>
      </c>
      <c r="D19" s="266"/>
      <c r="F19" s="343"/>
      <c r="G19" s="343"/>
      <c r="H19" s="343"/>
      <c r="V19" s="344"/>
      <c r="W19" s="344"/>
      <c r="X19" s="344"/>
    </row>
    <row r="20" spans="1:27" ht="20.100000000000001" customHeight="1">
      <c r="A20" s="1073" t="s">
        <v>1196</v>
      </c>
      <c r="B20" s="266" t="s">
        <v>1503</v>
      </c>
      <c r="C20" s="267">
        <f>C12</f>
        <v>90</v>
      </c>
      <c r="D20" s="266"/>
      <c r="F20" s="343"/>
      <c r="G20" s="343"/>
      <c r="H20" s="343"/>
      <c r="V20" s="344"/>
      <c r="W20" s="344"/>
    </row>
    <row r="21" spans="1:27" ht="20.100000000000001" customHeight="1">
      <c r="A21" s="1073"/>
      <c r="B21" s="345" t="s">
        <v>1505</v>
      </c>
      <c r="C21" s="326">
        <v>100</v>
      </c>
      <c r="D21" s="380" t="s">
        <v>1209</v>
      </c>
      <c r="F21" s="343"/>
      <c r="G21" s="343"/>
      <c r="H21" s="343"/>
      <c r="V21" s="344"/>
      <c r="W21" s="344"/>
    </row>
    <row r="22" spans="1:27" ht="20.100000000000001" customHeight="1">
      <c r="A22" s="1073"/>
      <c r="B22" s="345" t="s">
        <v>1194</v>
      </c>
      <c r="C22" s="385" t="s">
        <v>1195</v>
      </c>
      <c r="D22" s="380" t="s">
        <v>1210</v>
      </c>
      <c r="F22" s="343"/>
      <c r="G22" s="343"/>
      <c r="H22" s="343"/>
      <c r="O22" s="343"/>
      <c r="V22" s="344"/>
      <c r="W22" s="344"/>
      <c r="Y22" s="343"/>
    </row>
    <row r="23" spans="1:27" ht="20.100000000000001" customHeight="1">
      <c r="A23" s="1073" t="s">
        <v>1205</v>
      </c>
      <c r="B23" s="345" t="s">
        <v>1184</v>
      </c>
      <c r="C23" s="338" t="s">
        <v>1185</v>
      </c>
      <c r="D23" s="266" t="s">
        <v>138</v>
      </c>
      <c r="F23" s="343"/>
      <c r="G23" s="343"/>
      <c r="H23" s="343"/>
      <c r="O23" s="343"/>
      <c r="P23" s="343"/>
      <c r="Q23" s="343"/>
      <c r="R23" s="343"/>
      <c r="S23" s="343"/>
      <c r="T23" s="343"/>
      <c r="U23" s="343"/>
      <c r="V23" s="344"/>
      <c r="W23" s="344"/>
      <c r="X23" s="343"/>
      <c r="Z23" s="343"/>
    </row>
    <row r="24" spans="1:27" ht="20.100000000000001" customHeight="1">
      <c r="A24" s="1073"/>
      <c r="B24" s="345" t="s">
        <v>1187</v>
      </c>
      <c r="C24" s="338" t="s">
        <v>1188</v>
      </c>
      <c r="D24" s="266" t="s">
        <v>141</v>
      </c>
      <c r="F24" s="343"/>
      <c r="G24" s="343"/>
      <c r="H24" s="343"/>
      <c r="Z24" s="343"/>
    </row>
    <row r="25" spans="1:27" ht="20.100000000000001" customHeight="1">
      <c r="A25" s="1073"/>
      <c r="B25" s="345" t="s">
        <v>1189</v>
      </c>
      <c r="C25" s="338" t="s">
        <v>1182</v>
      </c>
      <c r="D25" s="266" t="s">
        <v>142</v>
      </c>
      <c r="F25" s="343"/>
      <c r="G25" s="343"/>
      <c r="H25" s="343"/>
      <c r="Z25" s="343"/>
    </row>
    <row r="26" spans="1:27" ht="20.100000000000001" customHeight="1">
      <c r="A26" s="1073"/>
      <c r="B26" s="345" t="s">
        <v>1192</v>
      </c>
      <c r="C26" s="338" t="s">
        <v>1193</v>
      </c>
      <c r="D26" s="266" t="s">
        <v>136</v>
      </c>
      <c r="F26" s="343"/>
      <c r="G26" s="343"/>
      <c r="H26" s="343"/>
      <c r="Z26" s="343"/>
    </row>
    <row r="27" spans="1:27" ht="20.100000000000001" customHeight="1">
      <c r="F27" s="343"/>
      <c r="G27" s="343"/>
      <c r="H27" s="343"/>
      <c r="Z27" s="343"/>
    </row>
    <row r="28" spans="1:27" ht="20.100000000000001" customHeight="1">
      <c r="A28" s="1225" t="s">
        <v>1625</v>
      </c>
      <c r="B28" s="1225"/>
      <c r="C28" s="1225"/>
      <c r="D28" s="1225"/>
      <c r="F28" s="343"/>
      <c r="G28" s="343"/>
      <c r="H28" s="343"/>
      <c r="Z28" s="343"/>
    </row>
    <row r="29" spans="1:27" ht="20.100000000000001" customHeight="1">
      <c r="A29" s="1225"/>
      <c r="B29" s="1225"/>
      <c r="C29" s="1225"/>
      <c r="D29" s="1225"/>
      <c r="F29" s="343"/>
      <c r="G29" s="343"/>
      <c r="H29" s="343"/>
      <c r="Z29" s="343"/>
    </row>
    <row r="30" spans="1:27" ht="20.100000000000001" customHeight="1">
      <c r="A30" s="1225"/>
      <c r="B30" s="1225"/>
      <c r="C30" s="1225"/>
      <c r="D30" s="1225"/>
      <c r="F30" s="343"/>
      <c r="G30" s="343"/>
      <c r="H30" s="343"/>
      <c r="N30" s="333" t="s">
        <v>1198</v>
      </c>
      <c r="Z30" s="343"/>
    </row>
    <row r="31" spans="1:27" ht="20.100000000000001" customHeight="1">
      <c r="A31" s="1225"/>
      <c r="B31" s="1225"/>
      <c r="C31" s="1225"/>
      <c r="D31" s="1225"/>
      <c r="F31" s="343" t="s">
        <v>1199</v>
      </c>
      <c r="G31" s="343"/>
      <c r="H31" s="343"/>
      <c r="Z31" s="343"/>
    </row>
    <row r="32" spans="1:27" ht="20.100000000000001" customHeight="1">
      <c r="A32" s="1225"/>
      <c r="B32" s="1225"/>
      <c r="C32" s="1225"/>
      <c r="D32" s="1225"/>
      <c r="F32" s="343"/>
      <c r="G32" s="343"/>
      <c r="H32" s="343"/>
      <c r="AA32" s="343"/>
    </row>
    <row r="33" spans="1:27" ht="20.100000000000001" customHeight="1">
      <c r="A33" s="1225"/>
      <c r="B33" s="1225"/>
      <c r="C33" s="1225"/>
      <c r="D33" s="1225"/>
      <c r="G33" s="343"/>
      <c r="H33" s="343"/>
      <c r="AA33" s="343"/>
    </row>
    <row r="34" spans="1:27" ht="20.100000000000001" customHeight="1">
      <c r="A34" s="1225"/>
      <c r="B34" s="1225"/>
      <c r="C34" s="1225"/>
      <c r="D34" s="1225"/>
      <c r="F34" s="343"/>
      <c r="G34" s="343"/>
      <c r="H34" s="343"/>
      <c r="AA34" s="343"/>
    </row>
    <row r="35" spans="1:27" ht="20.100000000000001" customHeight="1">
      <c r="A35" s="1225"/>
      <c r="B35" s="1225"/>
      <c r="C35" s="1225"/>
      <c r="D35" s="1225"/>
      <c r="F35" s="343"/>
      <c r="G35" s="343"/>
      <c r="H35" s="343"/>
      <c r="AA35" s="343"/>
    </row>
    <row r="36" spans="1:27" ht="20.100000000000001" customHeight="1">
      <c r="A36" s="1225"/>
      <c r="B36" s="1225"/>
      <c r="C36" s="1225"/>
      <c r="D36" s="1225"/>
      <c r="F36" s="343"/>
      <c r="G36" s="343"/>
      <c r="H36" s="343"/>
      <c r="AA36" s="343"/>
    </row>
    <row r="37" spans="1:27" ht="20.100000000000001" customHeight="1">
      <c r="A37" s="1225"/>
      <c r="B37" s="1225"/>
      <c r="C37" s="1225"/>
      <c r="D37" s="1225"/>
      <c r="F37" s="343"/>
      <c r="G37" s="343"/>
      <c r="H37" s="343"/>
      <c r="AA37" s="343"/>
    </row>
    <row r="38" spans="1:27" ht="20.100000000000001" customHeight="1">
      <c r="A38" s="381"/>
      <c r="B38" s="382"/>
      <c r="C38" s="382"/>
      <c r="D38" s="383"/>
      <c r="F38" s="343"/>
      <c r="G38" s="343"/>
      <c r="H38" s="343"/>
      <c r="AA38" s="343"/>
    </row>
    <row r="39" spans="1:27" ht="20.100000000000001" customHeight="1">
      <c r="F39" s="343"/>
      <c r="G39" s="343"/>
      <c r="H39" s="343"/>
      <c r="AA39" s="343"/>
    </row>
    <row r="40" spans="1:27" ht="20.100000000000001" customHeight="1">
      <c r="F40" s="343"/>
      <c r="G40" s="343"/>
      <c r="H40" s="343"/>
      <c r="AA40" s="343"/>
    </row>
    <row r="41" spans="1:27" ht="20.100000000000001" customHeight="1">
      <c r="F41" s="343"/>
      <c r="G41" s="343"/>
      <c r="H41" s="343"/>
      <c r="AA41" s="343"/>
    </row>
    <row r="42" spans="1:27" ht="20.100000000000001" customHeight="1">
      <c r="F42" s="343"/>
      <c r="G42" s="343"/>
      <c r="H42" s="343"/>
      <c r="AA42" s="343"/>
    </row>
    <row r="43" spans="1:27" ht="20.100000000000001" customHeight="1">
      <c r="A43" s="1224" t="s">
        <v>1506</v>
      </c>
      <c r="B43" s="1224"/>
      <c r="C43" s="1224"/>
      <c r="D43" s="1224"/>
      <c r="F43" s="343"/>
      <c r="G43" s="343"/>
      <c r="H43" s="343"/>
      <c r="N43" s="262" t="s">
        <v>1200</v>
      </c>
      <c r="AA43" s="343"/>
    </row>
    <row r="44" spans="1:27" ht="20.100000000000001" customHeight="1">
      <c r="A44" s="1032"/>
      <c r="B44" s="1032"/>
      <c r="C44" s="1032"/>
      <c r="D44" s="1032"/>
      <c r="F44" s="349"/>
      <c r="G44" s="343"/>
      <c r="H44" s="367"/>
      <c r="I44" s="367"/>
      <c r="J44" s="367"/>
      <c r="K44" s="384"/>
      <c r="L44" s="384"/>
      <c r="M44" s="384"/>
      <c r="N44" s="333"/>
      <c r="AA44" s="343"/>
    </row>
    <row r="45" spans="1:27" ht="20.100000000000001" customHeight="1">
      <c r="A45" s="1032"/>
      <c r="B45" s="1032"/>
      <c r="C45" s="1032"/>
      <c r="D45" s="1032"/>
      <c r="F45" s="349"/>
      <c r="G45" s="343"/>
      <c r="H45" s="367"/>
      <c r="I45" s="367"/>
      <c r="J45" s="367"/>
      <c r="K45" s="384"/>
      <c r="L45" s="384"/>
      <c r="M45" s="384"/>
      <c r="AA45" s="343"/>
    </row>
    <row r="46" spans="1:27" ht="20.100000000000001" customHeight="1">
      <c r="A46" s="1032"/>
      <c r="B46" s="1032"/>
      <c r="C46" s="1032"/>
      <c r="D46" s="1032"/>
      <c r="F46" s="349" t="s">
        <v>1183</v>
      </c>
      <c r="G46" s="343"/>
      <c r="H46" s="367"/>
      <c r="I46" s="367"/>
      <c r="J46" s="367"/>
      <c r="K46" s="367"/>
      <c r="L46" s="367"/>
      <c r="M46" s="367"/>
      <c r="AA46" s="343"/>
    </row>
    <row r="47" spans="1:27" ht="20.100000000000001" customHeight="1">
      <c r="A47" s="1032"/>
      <c r="B47" s="1032"/>
      <c r="C47" s="1032"/>
      <c r="D47" s="1032"/>
      <c r="F47" s="349"/>
      <c r="G47" s="343"/>
      <c r="H47" s="367"/>
      <c r="I47" s="367"/>
      <c r="J47" s="367"/>
      <c r="K47" s="343"/>
      <c r="L47" s="343"/>
      <c r="M47" s="343"/>
      <c r="AA47" s="343"/>
    </row>
    <row r="48" spans="1:27" ht="20.100000000000001" customHeight="1">
      <c r="A48" s="1032"/>
      <c r="B48" s="1032"/>
      <c r="C48" s="1032"/>
      <c r="D48" s="1032"/>
      <c r="F48" s="343"/>
      <c r="G48" s="343"/>
      <c r="H48" s="343"/>
      <c r="I48" s="343"/>
      <c r="J48" s="343"/>
      <c r="K48" s="343"/>
      <c r="L48" s="343"/>
      <c r="M48" s="343"/>
      <c r="AA48" s="343"/>
    </row>
    <row r="49" spans="1:27" ht="20.100000000000001" customHeight="1">
      <c r="A49" s="1032"/>
      <c r="B49" s="1032"/>
      <c r="C49" s="1032"/>
      <c r="D49" s="1032"/>
      <c r="F49" s="349"/>
      <c r="G49" s="343"/>
      <c r="H49" s="343"/>
      <c r="I49" s="343"/>
      <c r="J49" s="343"/>
      <c r="K49" s="343"/>
      <c r="L49" s="343"/>
      <c r="M49" s="343"/>
      <c r="AA49" s="343"/>
    </row>
    <row r="50" spans="1:27" ht="20.100000000000001" customHeight="1">
      <c r="A50" s="1032"/>
      <c r="B50" s="1032"/>
      <c r="C50" s="1032"/>
      <c r="D50" s="1032"/>
      <c r="F50" s="343"/>
      <c r="G50" s="343"/>
      <c r="H50" s="343"/>
      <c r="I50" s="343"/>
      <c r="J50" s="343"/>
      <c r="K50" s="343"/>
      <c r="L50" s="343"/>
      <c r="M50" s="343"/>
      <c r="Z50" s="343"/>
    </row>
    <row r="51" spans="1:27" ht="20.100000000000001" customHeight="1">
      <c r="F51" s="343"/>
      <c r="G51" s="343"/>
      <c r="H51" s="343"/>
      <c r="I51" s="343"/>
      <c r="J51" s="343"/>
      <c r="K51" s="343"/>
      <c r="L51" s="343"/>
      <c r="M51" s="343"/>
      <c r="Z51" s="343"/>
    </row>
    <row r="52" spans="1:27" ht="20.100000000000001" customHeight="1">
      <c r="F52" s="343"/>
      <c r="G52" s="343"/>
      <c r="H52" s="343"/>
      <c r="I52" s="343"/>
      <c r="J52" s="343"/>
      <c r="K52" s="343"/>
      <c r="L52" s="343"/>
      <c r="M52" s="343"/>
      <c r="Z52" s="343"/>
    </row>
    <row r="53" spans="1:27" ht="20.100000000000001" customHeight="1">
      <c r="F53" s="343"/>
      <c r="G53" s="343"/>
      <c r="H53" s="343"/>
      <c r="I53" s="343"/>
      <c r="J53" s="343"/>
      <c r="K53" s="343"/>
      <c r="L53" s="343"/>
      <c r="M53" s="343"/>
      <c r="Z53" s="343"/>
    </row>
    <row r="54" spans="1:27" ht="20.100000000000001" customHeight="1">
      <c r="F54" s="343"/>
      <c r="G54" s="343"/>
      <c r="H54" s="343"/>
      <c r="I54" s="343"/>
      <c r="J54" s="343"/>
      <c r="K54" s="343"/>
      <c r="L54" s="343"/>
      <c r="M54" s="343"/>
      <c r="Z54" s="343"/>
    </row>
    <row r="55" spans="1:27" ht="20.100000000000001" customHeight="1">
      <c r="F55" s="343"/>
      <c r="G55" s="343"/>
      <c r="H55" s="343"/>
      <c r="I55" s="343"/>
      <c r="J55" s="343"/>
      <c r="K55" s="343"/>
      <c r="L55" s="343"/>
      <c r="M55" s="343"/>
      <c r="Z55" s="343"/>
    </row>
    <row r="56" spans="1:27" ht="20.100000000000001" customHeight="1">
      <c r="F56" s="343"/>
      <c r="G56" s="343"/>
      <c r="H56" s="343"/>
      <c r="I56" s="343"/>
      <c r="J56" s="343"/>
      <c r="K56" s="343"/>
      <c r="L56" s="343"/>
      <c r="M56" s="343"/>
      <c r="N56" s="343"/>
      <c r="O56" s="343"/>
      <c r="Z56" s="343"/>
    </row>
    <row r="57" spans="1:27" ht="20.100000000000001" customHeight="1">
      <c r="F57" s="343"/>
      <c r="G57" s="343"/>
      <c r="H57" s="343"/>
      <c r="I57" s="343"/>
      <c r="J57" s="343"/>
      <c r="K57" s="343"/>
      <c r="L57" s="343"/>
      <c r="M57" s="343"/>
      <c r="Z57" s="343"/>
    </row>
    <row r="58" spans="1:27" ht="20.100000000000001" customHeight="1">
      <c r="F58" s="343"/>
      <c r="G58" s="343"/>
      <c r="H58" s="343"/>
      <c r="I58" s="343"/>
      <c r="J58" s="343"/>
      <c r="K58" s="343"/>
      <c r="L58" s="343"/>
      <c r="M58" s="343"/>
      <c r="AA58" s="343"/>
    </row>
    <row r="59" spans="1:27" ht="20.100000000000001" customHeight="1">
      <c r="F59" s="343"/>
      <c r="G59" s="343"/>
      <c r="H59" s="343"/>
      <c r="I59" s="343"/>
      <c r="J59" s="343"/>
      <c r="K59" s="343"/>
      <c r="L59" s="343"/>
      <c r="M59" s="343"/>
      <c r="AA59" s="343"/>
    </row>
    <row r="60" spans="1:27" ht="20.100000000000001" customHeight="1">
      <c r="F60" s="343"/>
      <c r="G60" s="343"/>
      <c r="H60" s="343"/>
      <c r="I60" s="343"/>
      <c r="J60" s="343"/>
      <c r="K60" s="343"/>
      <c r="L60" s="343"/>
      <c r="M60" s="343"/>
      <c r="AA60" s="343"/>
    </row>
    <row r="61" spans="1:27" ht="20.100000000000001" customHeight="1">
      <c r="F61" s="343"/>
      <c r="G61" s="343"/>
      <c r="H61" s="343"/>
      <c r="I61" s="343"/>
      <c r="J61" s="343"/>
      <c r="K61" s="343"/>
      <c r="L61" s="343"/>
      <c r="M61" s="343"/>
      <c r="N61" s="262" t="s">
        <v>1202</v>
      </c>
      <c r="AA61" s="343"/>
    </row>
    <row r="62" spans="1:27" ht="20.100000000000001" customHeight="1">
      <c r="F62" s="343"/>
      <c r="G62" s="343"/>
      <c r="H62" s="343"/>
      <c r="I62" s="343"/>
      <c r="J62" s="343"/>
      <c r="K62" s="343"/>
      <c r="L62" s="343"/>
      <c r="M62" s="343"/>
      <c r="AA62" s="343"/>
    </row>
    <row r="63" spans="1:27" ht="20.100000000000001" customHeight="1">
      <c r="F63" s="343"/>
      <c r="G63" s="343"/>
      <c r="H63" s="343"/>
      <c r="I63" s="343"/>
      <c r="J63" s="343"/>
      <c r="K63" s="343"/>
      <c r="L63" s="343"/>
      <c r="M63" s="343"/>
      <c r="AA63" s="343"/>
    </row>
    <row r="64" spans="1:27" ht="20.100000000000001" customHeight="1">
      <c r="F64" s="343"/>
      <c r="G64" s="343"/>
      <c r="H64" s="343"/>
      <c r="I64" s="343"/>
      <c r="J64" s="343"/>
      <c r="K64" s="343"/>
      <c r="L64" s="343"/>
      <c r="M64" s="343"/>
      <c r="AA64" s="343"/>
    </row>
    <row r="65" spans="6:27" ht="20.100000000000001" customHeight="1">
      <c r="F65" s="343"/>
      <c r="G65" s="343"/>
      <c r="H65" s="343"/>
      <c r="I65" s="343"/>
      <c r="J65" s="343"/>
      <c r="K65" s="343"/>
      <c r="L65" s="343"/>
      <c r="M65" s="343"/>
      <c r="AA65" s="343"/>
    </row>
    <row r="66" spans="6:27" ht="20.100000000000001" customHeight="1">
      <c r="F66" s="343"/>
      <c r="G66" s="343"/>
      <c r="H66" s="343"/>
      <c r="I66" s="343"/>
      <c r="J66" s="343"/>
      <c r="K66" s="343"/>
      <c r="L66" s="343"/>
      <c r="M66" s="343"/>
      <c r="AA66" s="343"/>
    </row>
    <row r="67" spans="6:27" ht="20.100000000000001" customHeight="1">
      <c r="F67" s="343" t="s">
        <v>1186</v>
      </c>
      <c r="G67" s="343"/>
      <c r="H67" s="343"/>
      <c r="I67" s="343"/>
      <c r="J67" s="343"/>
      <c r="K67" s="343"/>
      <c r="L67" s="343"/>
      <c r="M67" s="343"/>
      <c r="AA67" s="343"/>
    </row>
    <row r="68" spans="6:27" ht="20.100000000000001" customHeight="1">
      <c r="F68" s="343"/>
      <c r="G68" s="343"/>
      <c r="H68" s="343"/>
      <c r="I68" s="343"/>
      <c r="J68" s="343"/>
      <c r="K68" s="343"/>
      <c r="L68" s="343"/>
      <c r="M68" s="343"/>
      <c r="AA68" s="343"/>
    </row>
    <row r="69" spans="6:27" ht="20.100000000000001" customHeight="1">
      <c r="F69" s="343"/>
      <c r="G69" s="343"/>
      <c r="H69" s="343"/>
      <c r="I69" s="343"/>
      <c r="J69" s="343"/>
      <c r="K69" s="343"/>
      <c r="L69" s="343"/>
      <c r="M69" s="343"/>
      <c r="AA69" s="343"/>
    </row>
    <row r="70" spans="6:27" ht="20.100000000000001" customHeight="1">
      <c r="F70" s="343"/>
      <c r="G70" s="343"/>
      <c r="H70" s="343"/>
      <c r="I70" s="343"/>
      <c r="J70" s="343"/>
      <c r="K70" s="343"/>
      <c r="L70" s="343"/>
      <c r="M70" s="343"/>
      <c r="AA70" s="343"/>
    </row>
    <row r="71" spans="6:27" ht="20.100000000000001" customHeight="1">
      <c r="F71" s="343"/>
      <c r="G71" s="343"/>
      <c r="H71" s="343"/>
      <c r="I71" s="343"/>
      <c r="J71" s="343"/>
      <c r="K71" s="343"/>
      <c r="L71" s="343"/>
      <c r="M71" s="343"/>
      <c r="AA71" s="343"/>
    </row>
    <row r="72" spans="6:27" ht="20.100000000000001" customHeight="1">
      <c r="F72" s="343"/>
      <c r="G72" s="343"/>
      <c r="H72" s="343"/>
      <c r="I72" s="343"/>
      <c r="J72" s="343"/>
      <c r="K72" s="343"/>
      <c r="L72" s="343"/>
      <c r="M72" s="343"/>
      <c r="AA72" s="343"/>
    </row>
    <row r="73" spans="6:27" ht="20.100000000000001" customHeight="1">
      <c r="F73" s="343"/>
      <c r="G73" s="343"/>
      <c r="H73" s="343"/>
      <c r="I73" s="343"/>
      <c r="J73" s="343"/>
      <c r="K73" s="343"/>
      <c r="L73" s="343"/>
      <c r="M73" s="343"/>
      <c r="AA73" s="343"/>
    </row>
    <row r="74" spans="6:27" ht="20.100000000000001" customHeight="1">
      <c r="F74" s="343"/>
      <c r="G74" s="343"/>
      <c r="H74" s="343"/>
      <c r="I74" s="343"/>
      <c r="J74" s="343"/>
      <c r="K74" s="343"/>
      <c r="L74" s="343"/>
      <c r="M74" s="343"/>
      <c r="AA74" s="343"/>
    </row>
    <row r="75" spans="6:27" ht="20.100000000000001" customHeight="1">
      <c r="F75" s="343"/>
      <c r="G75" s="343"/>
      <c r="H75" s="343"/>
      <c r="I75" s="343"/>
      <c r="J75" s="343"/>
      <c r="K75" s="343"/>
      <c r="L75" s="343"/>
      <c r="M75" s="343"/>
      <c r="AA75" s="343"/>
    </row>
    <row r="76" spans="6:27" ht="20.100000000000001" customHeight="1">
      <c r="F76" s="343"/>
      <c r="G76" s="343"/>
      <c r="H76" s="343"/>
      <c r="I76" s="343"/>
      <c r="J76" s="343"/>
      <c r="K76" s="343"/>
      <c r="L76" s="343"/>
      <c r="M76" s="343"/>
      <c r="AA76" s="343"/>
    </row>
    <row r="77" spans="6:27" ht="20.100000000000001" customHeight="1">
      <c r="F77" s="343"/>
      <c r="G77" s="343"/>
      <c r="H77" s="343"/>
      <c r="I77" s="343"/>
      <c r="J77" s="343"/>
      <c r="K77" s="343"/>
      <c r="L77" s="343"/>
      <c r="M77" s="343"/>
      <c r="AA77" s="343"/>
    </row>
    <row r="78" spans="6:27" ht="20.100000000000001" customHeight="1">
      <c r="F78" s="343" t="s">
        <v>1190</v>
      </c>
      <c r="G78" s="343"/>
      <c r="H78" s="343"/>
      <c r="I78" s="343"/>
      <c r="J78" s="343"/>
      <c r="K78" s="343"/>
      <c r="L78" s="343"/>
      <c r="M78" s="343"/>
      <c r="AA78" s="343"/>
    </row>
    <row r="79" spans="6:27" ht="20.100000000000001" customHeight="1">
      <c r="F79" s="343"/>
      <c r="G79" s="343"/>
      <c r="H79" s="343"/>
      <c r="I79" s="343"/>
      <c r="J79" s="343"/>
      <c r="K79" s="343"/>
      <c r="L79" s="343"/>
      <c r="M79" s="343"/>
      <c r="AA79" s="343"/>
    </row>
    <row r="80" spans="6:27" ht="20.100000000000001" customHeight="1">
      <c r="F80" s="343"/>
      <c r="G80" s="343"/>
      <c r="H80" s="343"/>
      <c r="I80" s="343"/>
      <c r="J80" s="343"/>
      <c r="K80" s="343"/>
      <c r="L80" s="343"/>
      <c r="M80" s="343"/>
      <c r="AA80" s="343"/>
    </row>
    <row r="81" spans="6:27" ht="20.100000000000001" customHeight="1">
      <c r="F81" s="343"/>
      <c r="G81" s="343"/>
      <c r="H81" s="343"/>
      <c r="I81" s="343"/>
      <c r="J81" s="343"/>
      <c r="K81" s="343"/>
      <c r="L81" s="343"/>
      <c r="M81" s="343"/>
      <c r="AA81" s="343"/>
    </row>
    <row r="82" spans="6:27" ht="20.100000000000001" customHeight="1">
      <c r="F82" s="343"/>
      <c r="G82" s="343"/>
      <c r="H82" s="343"/>
      <c r="I82" s="343"/>
      <c r="J82" s="343"/>
      <c r="K82" s="343"/>
      <c r="L82" s="343"/>
      <c r="M82" s="343"/>
      <c r="AA82" s="343"/>
    </row>
    <row r="83" spans="6:27" ht="20.100000000000001" customHeight="1">
      <c r="F83" s="343"/>
      <c r="G83" s="343"/>
      <c r="H83" s="343"/>
      <c r="I83" s="343"/>
      <c r="J83" s="343"/>
      <c r="K83" s="343"/>
      <c r="L83" s="343"/>
      <c r="M83" s="343"/>
      <c r="N83" s="368"/>
      <c r="AA83" s="343"/>
    </row>
    <row r="84" spans="6:27" ht="20.100000000000001" customHeight="1">
      <c r="F84" s="343"/>
      <c r="G84" s="343"/>
      <c r="H84" s="343"/>
      <c r="I84" s="343"/>
      <c r="J84" s="343"/>
      <c r="K84" s="343"/>
      <c r="L84" s="343"/>
      <c r="M84" s="343"/>
      <c r="N84" s="368"/>
      <c r="AA84" s="343"/>
    </row>
    <row r="85" spans="6:27" ht="20.100000000000001" customHeight="1">
      <c r="F85" s="343"/>
      <c r="G85" s="343"/>
      <c r="H85" s="343"/>
      <c r="I85" s="343"/>
      <c r="J85" s="343"/>
      <c r="K85" s="343"/>
      <c r="L85" s="343"/>
      <c r="M85" s="343"/>
      <c r="N85" s="368"/>
      <c r="AA85" s="343"/>
    </row>
    <row r="86" spans="6:27" ht="20.100000000000001" customHeight="1">
      <c r="F86" s="343"/>
      <c r="G86" s="343"/>
      <c r="H86" s="343"/>
      <c r="I86" s="343"/>
      <c r="J86" s="343"/>
      <c r="K86" s="343"/>
      <c r="L86" s="343"/>
      <c r="M86" s="343"/>
      <c r="N86" s="368"/>
      <c r="AA86" s="343"/>
    </row>
    <row r="87" spans="6:27" ht="20.100000000000001" customHeight="1">
      <c r="F87" s="343"/>
      <c r="G87" s="343"/>
      <c r="H87" s="343"/>
      <c r="I87" s="343"/>
      <c r="J87" s="343"/>
      <c r="K87" s="343"/>
      <c r="L87" s="343"/>
      <c r="M87" s="343"/>
      <c r="N87" s="368"/>
      <c r="AA87" s="343"/>
    </row>
    <row r="88" spans="6:27" ht="20.100000000000001" customHeight="1">
      <c r="F88" s="343"/>
      <c r="G88" s="343"/>
      <c r="H88" s="343"/>
      <c r="I88" s="343"/>
      <c r="J88" s="343"/>
      <c r="K88" s="343"/>
      <c r="L88" s="343"/>
      <c r="M88" s="343"/>
      <c r="N88" s="368"/>
      <c r="AA88" s="343"/>
    </row>
    <row r="89" spans="6:27" ht="20.100000000000001" customHeight="1">
      <c r="F89" s="343"/>
      <c r="G89" s="343"/>
      <c r="H89" s="343"/>
      <c r="I89" s="343"/>
      <c r="J89" s="343"/>
      <c r="K89" s="343"/>
      <c r="L89" s="343"/>
      <c r="M89" s="343"/>
      <c r="AA89" s="343"/>
    </row>
    <row r="90" spans="6:27" ht="20.100000000000001" customHeight="1">
      <c r="F90" s="343"/>
      <c r="G90" s="343"/>
      <c r="H90" s="343"/>
      <c r="I90" s="343"/>
      <c r="J90" s="343"/>
      <c r="K90" s="343"/>
      <c r="L90" s="343"/>
      <c r="M90" s="343"/>
      <c r="AA90" s="343"/>
    </row>
    <row r="91" spans="6:27" ht="20.100000000000001" customHeight="1">
      <c r="F91" s="343"/>
      <c r="G91" s="343"/>
      <c r="H91" s="343"/>
      <c r="I91" s="343"/>
      <c r="J91" s="343"/>
      <c r="K91" s="343"/>
      <c r="L91" s="343"/>
      <c r="M91" s="343"/>
      <c r="AA91" s="343"/>
    </row>
    <row r="92" spans="6:27" ht="20.100000000000001" customHeight="1">
      <c r="F92" s="343"/>
      <c r="G92" s="343"/>
      <c r="H92" s="343"/>
      <c r="I92" s="343"/>
      <c r="J92" s="343"/>
      <c r="K92" s="343"/>
      <c r="L92" s="343"/>
      <c r="M92" s="343"/>
    </row>
    <row r="93" spans="6:27" ht="20.100000000000001" customHeight="1">
      <c r="F93" s="343"/>
      <c r="G93" s="343"/>
      <c r="H93" s="343"/>
      <c r="I93" s="343"/>
      <c r="J93" s="343"/>
      <c r="K93" s="343"/>
      <c r="L93" s="343"/>
      <c r="M93" s="343"/>
    </row>
    <row r="94" spans="6:27" ht="20.100000000000001" customHeight="1">
      <c r="F94" s="343"/>
      <c r="G94" s="343"/>
      <c r="H94" s="343"/>
      <c r="I94" s="343"/>
      <c r="J94" s="343"/>
      <c r="K94" s="343"/>
      <c r="L94" s="343"/>
      <c r="M94" s="343"/>
    </row>
    <row r="95" spans="6:27" ht="20.100000000000001" customHeight="1">
      <c r="F95" s="343"/>
      <c r="G95" s="343"/>
      <c r="H95" s="343"/>
      <c r="I95" s="343"/>
      <c r="J95" s="343"/>
      <c r="K95" s="343"/>
      <c r="L95" s="343"/>
      <c r="M95" s="343"/>
    </row>
    <row r="96" spans="6:27" ht="20.100000000000001" customHeight="1">
      <c r="F96" s="343"/>
      <c r="G96" s="343"/>
      <c r="H96" s="343"/>
      <c r="I96" s="343"/>
      <c r="J96" s="343"/>
      <c r="K96" s="343"/>
      <c r="L96" s="343"/>
      <c r="M96" s="343"/>
    </row>
    <row r="97" spans="6:13" ht="20.100000000000001" customHeight="1">
      <c r="F97" s="343"/>
      <c r="G97" s="343"/>
      <c r="H97" s="343"/>
      <c r="I97" s="343"/>
      <c r="J97" s="343"/>
      <c r="K97" s="343"/>
      <c r="L97" s="343"/>
      <c r="M97" s="343"/>
    </row>
    <row r="98" spans="6:13" ht="20.100000000000001" customHeight="1">
      <c r="F98" s="343"/>
      <c r="G98" s="343"/>
      <c r="H98" s="343"/>
      <c r="I98" s="343"/>
      <c r="J98" s="343"/>
      <c r="K98" s="343"/>
      <c r="L98" s="343"/>
      <c r="M98" s="343"/>
    </row>
    <row r="99" spans="6:13" ht="20.100000000000001" customHeight="1">
      <c r="F99" s="343"/>
      <c r="G99" s="343"/>
      <c r="H99" s="343"/>
      <c r="I99" s="343"/>
      <c r="J99" s="343"/>
      <c r="K99" s="343"/>
      <c r="L99" s="343"/>
      <c r="M99" s="343"/>
    </row>
    <row r="100" spans="6:13" ht="20.100000000000001" customHeight="1">
      <c r="F100" s="343"/>
      <c r="G100" s="343"/>
      <c r="H100" s="343"/>
      <c r="I100" s="343"/>
      <c r="J100" s="343"/>
      <c r="K100" s="343"/>
      <c r="L100" s="343"/>
      <c r="M100" s="343"/>
    </row>
    <row r="101" spans="6:13" ht="20.100000000000001" customHeight="1">
      <c r="F101" s="343"/>
      <c r="G101" s="343"/>
      <c r="H101" s="343"/>
      <c r="I101" s="343"/>
      <c r="J101" s="343"/>
      <c r="K101" s="343"/>
      <c r="L101" s="343"/>
      <c r="M101" s="343"/>
    </row>
    <row r="102" spans="6:13" ht="20.100000000000001" customHeight="1">
      <c r="F102" s="343"/>
      <c r="G102" s="343"/>
      <c r="H102" s="343"/>
      <c r="I102" s="343"/>
      <c r="J102" s="343"/>
      <c r="K102" s="343"/>
      <c r="L102" s="343"/>
      <c r="M102" s="343"/>
    </row>
    <row r="103" spans="6:13" ht="20.100000000000001" customHeight="1">
      <c r="F103" s="343"/>
      <c r="G103" s="343"/>
      <c r="H103" s="343"/>
      <c r="I103" s="343"/>
      <c r="J103" s="343"/>
      <c r="K103" s="343"/>
      <c r="L103" s="343"/>
      <c r="M103" s="343"/>
    </row>
    <row r="104" spans="6:13" ht="20.100000000000001" customHeight="1">
      <c r="F104" s="343" t="s">
        <v>1191</v>
      </c>
      <c r="G104" s="343"/>
      <c r="H104" s="343"/>
      <c r="I104" s="343"/>
      <c r="J104" s="343"/>
      <c r="K104" s="343"/>
      <c r="L104" s="343"/>
      <c r="M104" s="343"/>
    </row>
    <row r="105" spans="6:13" ht="20.100000000000001" customHeight="1">
      <c r="F105" s="343"/>
      <c r="G105" s="343"/>
      <c r="H105" s="343"/>
      <c r="I105" s="343"/>
      <c r="J105" s="343"/>
      <c r="K105" s="343"/>
      <c r="L105" s="343"/>
      <c r="M105" s="343"/>
    </row>
    <row r="106" spans="6:13" ht="20.100000000000001" customHeight="1">
      <c r="F106" s="343"/>
      <c r="G106" s="343"/>
      <c r="H106" s="343"/>
      <c r="I106" s="343"/>
      <c r="J106" s="343"/>
      <c r="K106" s="343"/>
      <c r="L106" s="343"/>
      <c r="M106" s="343"/>
    </row>
    <row r="107" spans="6:13" ht="20.100000000000001" customHeight="1">
      <c r="F107" s="343"/>
      <c r="G107" s="343"/>
      <c r="H107" s="343"/>
      <c r="I107" s="343"/>
      <c r="J107" s="343"/>
    </row>
  </sheetData>
  <sheetProtection password="828E" sheet="1" objects="1" scenarios="1"/>
  <mergeCells count="7">
    <mergeCell ref="A43:D50"/>
    <mergeCell ref="A1:D1"/>
    <mergeCell ref="A28:D37"/>
    <mergeCell ref="A20:A22"/>
    <mergeCell ref="A23:A26"/>
    <mergeCell ref="A13:A19"/>
    <mergeCell ref="A4:A12"/>
  </mergeCells>
  <phoneticPr fontId="4" type="noConversion"/>
  <dataValidations disablePrompts="1" count="4">
    <dataValidation type="list" allowBlank="1" showInputMessage="1" showErrorMessage="1" prompt="请选择" sqref="C23">
      <formula1>"基本型,脚座型,杆侧法兰,无杆侧法兰,单耳环,双耳环,杆侧耳轴，无杆侧耳轴,中央耳轴"</formula1>
    </dataValidation>
    <dataValidation type="list" allowBlank="1" showInputMessage="1" showErrorMessage="1" prompt="请选择" sqref="C24">
      <formula1>"无缓冲,橡胶缓冲,气缓冲,液压缓冲"</formula1>
    </dataValidation>
    <dataValidation type="list" allowBlank="1" showInputMessage="1" showErrorMessage="1" prompt="请选择" sqref="C25">
      <formula1>"是,否"</formula1>
    </dataValidation>
    <dataValidation type="list" allowBlank="1" showInputMessage="1" showErrorMessage="1" prompt="请选择" sqref="C26">
      <formula1>"I接头,Y接头,标准浮动头,法兰浮动头,脚座浮动头"</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sheetPr codeName="Sheet12"/>
  <dimension ref="A1:AE96"/>
  <sheetViews>
    <sheetView workbookViewId="0">
      <selection activeCell="E6" sqref="E6"/>
    </sheetView>
  </sheetViews>
  <sheetFormatPr defaultColWidth="15.625" defaultRowHeight="20.100000000000001" customHeight="1"/>
  <cols>
    <col min="1" max="1" width="15.625" style="262"/>
    <col min="2" max="2" width="23.375" style="262" customWidth="1"/>
    <col min="3" max="3" width="15.625" style="263"/>
    <col min="4" max="4" width="14.875" style="262" customWidth="1"/>
    <col min="5" max="5" width="7.125" style="262" customWidth="1"/>
    <col min="6" max="20" width="10.625" style="262" customWidth="1"/>
    <col min="21" max="27" width="8.625" style="262" customWidth="1"/>
    <col min="28" max="16384" width="15.625" style="262"/>
  </cols>
  <sheetData>
    <row r="1" spans="1:31" ht="21.95" customHeight="1">
      <c r="A1" s="1051" t="s">
        <v>1212</v>
      </c>
      <c r="B1" s="776"/>
      <c r="C1" s="776"/>
      <c r="D1" s="776"/>
      <c r="F1" s="386" t="s">
        <v>1248</v>
      </c>
    </row>
    <row r="2" spans="1:31" ht="20.100000000000001" customHeight="1">
      <c r="A2" s="333" t="s">
        <v>1247</v>
      </c>
    </row>
    <row r="3" spans="1:31" ht="20.100000000000001" customHeight="1">
      <c r="A3" s="266" t="s">
        <v>753</v>
      </c>
      <c r="B3" s="266" t="s">
        <v>754</v>
      </c>
      <c r="C3" s="267" t="s">
        <v>755</v>
      </c>
      <c r="D3" s="266" t="s">
        <v>762</v>
      </c>
      <c r="H3" s="374"/>
      <c r="I3" s="374"/>
      <c r="K3" s="263"/>
      <c r="V3" s="342"/>
      <c r="W3" s="342"/>
      <c r="X3" s="342"/>
      <c r="Y3" s="342"/>
      <c r="Z3" s="342"/>
      <c r="AA3" s="342"/>
      <c r="AB3" s="342"/>
      <c r="AC3" s="342"/>
      <c r="AD3" s="342"/>
    </row>
    <row r="4" spans="1:31" ht="20.100000000000001" customHeight="1">
      <c r="A4" s="1218" t="s">
        <v>1250</v>
      </c>
      <c r="B4" s="266" t="s">
        <v>1229</v>
      </c>
      <c r="C4" s="326">
        <v>10</v>
      </c>
      <c r="D4" s="266"/>
      <c r="V4" s="342"/>
      <c r="W4" s="342"/>
      <c r="X4" s="342"/>
      <c r="Y4" s="342"/>
      <c r="Z4" s="342"/>
      <c r="AA4" s="342"/>
      <c r="AB4" s="342"/>
      <c r="AC4" s="342"/>
      <c r="AD4" s="342"/>
    </row>
    <row r="5" spans="1:31" ht="20.100000000000001" customHeight="1">
      <c r="A5" s="1219"/>
      <c r="B5" s="266" t="s">
        <v>1214</v>
      </c>
      <c r="C5" s="326">
        <v>3903</v>
      </c>
      <c r="D5" s="266" t="s">
        <v>1213</v>
      </c>
      <c r="F5" s="262" t="s">
        <v>1232</v>
      </c>
      <c r="W5" s="343"/>
      <c r="X5" s="343"/>
      <c r="Y5" s="343"/>
      <c r="Z5" s="343"/>
      <c r="AA5" s="343"/>
      <c r="AB5" s="343"/>
      <c r="AC5" s="343"/>
      <c r="AD5" s="343"/>
      <c r="AE5" s="343"/>
    </row>
    <row r="6" spans="1:31" ht="20.100000000000001" customHeight="1">
      <c r="A6" s="1219"/>
      <c r="B6" s="266" t="s">
        <v>1215</v>
      </c>
      <c r="C6" s="326">
        <v>120</v>
      </c>
      <c r="D6" s="345" t="s">
        <v>1228</v>
      </c>
      <c r="F6" s="343"/>
      <c r="G6" s="343"/>
      <c r="H6" s="343"/>
      <c r="P6" s="333"/>
      <c r="W6" s="344"/>
      <c r="X6" s="344"/>
      <c r="Y6" s="344"/>
      <c r="Z6" s="344"/>
      <c r="AA6" s="344"/>
      <c r="AB6" s="344"/>
      <c r="AC6" s="344"/>
      <c r="AD6" s="344"/>
      <c r="AE6" s="344"/>
    </row>
    <row r="7" spans="1:31" ht="20.100000000000001" customHeight="1">
      <c r="A7" s="1219"/>
      <c r="B7" s="266" t="s">
        <v>1216</v>
      </c>
      <c r="C7" s="326">
        <v>1.5</v>
      </c>
      <c r="D7" s="345"/>
      <c r="F7" s="349"/>
      <c r="G7" s="343"/>
      <c r="H7" s="343"/>
      <c r="W7" s="344"/>
      <c r="X7" s="344"/>
      <c r="Y7" s="344"/>
      <c r="Z7" s="344"/>
    </row>
    <row r="8" spans="1:31" ht="20.100000000000001" customHeight="1">
      <c r="A8" s="1219"/>
      <c r="B8" s="266" t="s">
        <v>1218</v>
      </c>
      <c r="C8" s="326">
        <v>5</v>
      </c>
      <c r="D8" s="345" t="s">
        <v>1219</v>
      </c>
      <c r="F8" s="343"/>
      <c r="G8" s="343"/>
      <c r="H8" s="343"/>
      <c r="U8" s="344"/>
      <c r="V8" s="344"/>
      <c r="W8" s="344"/>
      <c r="X8" s="344"/>
      <c r="Y8" s="344"/>
      <c r="Z8" s="344"/>
      <c r="AA8" s="344"/>
      <c r="AB8" s="344"/>
      <c r="AC8" s="344"/>
    </row>
    <row r="9" spans="1:31" ht="20.100000000000001" customHeight="1">
      <c r="A9" s="1220"/>
      <c r="B9" s="266" t="s">
        <v>1169</v>
      </c>
      <c r="C9" s="326">
        <v>0.5</v>
      </c>
      <c r="D9" s="345" t="s">
        <v>1168</v>
      </c>
      <c r="F9" s="343"/>
      <c r="G9" s="343"/>
      <c r="H9" s="343"/>
      <c r="V9" s="344"/>
      <c r="W9" s="344"/>
      <c r="X9" s="344"/>
      <c r="Y9" s="344"/>
      <c r="Z9" s="344"/>
      <c r="AA9" s="344"/>
      <c r="AB9" s="344"/>
      <c r="AC9" s="344"/>
      <c r="AD9" s="344"/>
    </row>
    <row r="10" spans="1:31" ht="20.100000000000001" customHeight="1">
      <c r="A10" s="1081" t="s">
        <v>1246</v>
      </c>
      <c r="B10" s="266" t="s">
        <v>1220</v>
      </c>
      <c r="C10" s="287">
        <f>2*RADIANS(C6)/C7^2</f>
        <v>1.861684535460618</v>
      </c>
      <c r="D10" s="266" t="s">
        <v>1222</v>
      </c>
      <c r="F10" s="343"/>
      <c r="G10" s="343"/>
      <c r="H10" s="343"/>
      <c r="S10" s="344"/>
      <c r="T10" s="344"/>
      <c r="U10" s="344"/>
      <c r="V10" s="344"/>
      <c r="W10" s="344"/>
      <c r="X10" s="344"/>
      <c r="Y10" s="344"/>
      <c r="Z10" s="344"/>
      <c r="AA10" s="344"/>
    </row>
    <row r="11" spans="1:31" ht="20.100000000000001" customHeight="1">
      <c r="A11" s="1082"/>
      <c r="B11" s="266" t="s">
        <v>1223</v>
      </c>
      <c r="C11" s="284">
        <f>C8*C5/1000^2*C10</f>
        <v>3.6330773709513958E-2</v>
      </c>
      <c r="D11" s="266" t="s">
        <v>1221</v>
      </c>
      <c r="F11" s="343"/>
      <c r="G11" s="343"/>
      <c r="H11" s="343"/>
      <c r="X11" s="344"/>
      <c r="Y11" s="344"/>
      <c r="Z11" s="344"/>
      <c r="AA11" s="344"/>
    </row>
    <row r="12" spans="1:31" ht="20.100000000000001" customHeight="1">
      <c r="A12" s="1082"/>
      <c r="B12" s="266" t="s">
        <v>1224</v>
      </c>
      <c r="C12" s="287">
        <f>2*RADIANS(C6)/C7</f>
        <v>2.7925268031909272</v>
      </c>
      <c r="D12" s="266" t="s">
        <v>1225</v>
      </c>
      <c r="F12" s="343"/>
      <c r="G12" s="343"/>
      <c r="H12" s="343"/>
      <c r="X12" s="344"/>
      <c r="Y12" s="344"/>
      <c r="Z12" s="344"/>
      <c r="AA12" s="344"/>
    </row>
    <row r="13" spans="1:31" ht="20.100000000000001" customHeight="1">
      <c r="A13" s="1083"/>
      <c r="B13" s="266" t="s">
        <v>1226</v>
      </c>
      <c r="C13" s="284">
        <f>C5/1000^2*C12^2/2</f>
        <v>1.5218198904672301E-2</v>
      </c>
      <c r="D13" s="266" t="s">
        <v>1227</v>
      </c>
      <c r="F13" s="343"/>
      <c r="G13" s="343"/>
      <c r="H13" s="343"/>
      <c r="X13" s="344"/>
      <c r="Y13" s="344"/>
      <c r="Z13" s="344"/>
      <c r="AA13" s="344"/>
    </row>
    <row r="14" spans="1:31" ht="20.100000000000001" customHeight="1">
      <c r="A14" s="1218" t="s">
        <v>1230</v>
      </c>
      <c r="B14" s="345" t="s">
        <v>1240</v>
      </c>
      <c r="C14" s="338" t="s">
        <v>1242</v>
      </c>
      <c r="D14" s="266" t="s">
        <v>1234</v>
      </c>
      <c r="F14" s="343"/>
      <c r="G14" s="343"/>
      <c r="H14" s="343"/>
      <c r="X14" s="344"/>
      <c r="Y14" s="344"/>
      <c r="Z14" s="344"/>
      <c r="AA14" s="344"/>
    </row>
    <row r="15" spans="1:31" ht="20.100000000000001" customHeight="1">
      <c r="A15" s="1219"/>
      <c r="B15" s="345" t="s">
        <v>1235</v>
      </c>
      <c r="C15" s="338" t="s">
        <v>1241</v>
      </c>
      <c r="D15" s="266" t="s">
        <v>1237</v>
      </c>
      <c r="F15" s="343"/>
      <c r="G15" s="343"/>
      <c r="H15" s="343"/>
      <c r="X15" s="344"/>
      <c r="Y15" s="344"/>
      <c r="Z15" s="344"/>
      <c r="AA15" s="344"/>
    </row>
    <row r="16" spans="1:31" ht="20.100000000000001" customHeight="1">
      <c r="A16" s="1220"/>
      <c r="B16" s="345" t="s">
        <v>1231</v>
      </c>
      <c r="C16" s="1230" t="str">
        <f>IF(C15="液压缓冲",C14&amp;" A",C14)</f>
        <v>HRQ 20 A</v>
      </c>
      <c r="D16" s="1231"/>
      <c r="F16" s="343"/>
      <c r="G16" s="343"/>
      <c r="H16" s="343"/>
      <c r="X16" s="344"/>
      <c r="Y16" s="344"/>
    </row>
    <row r="17" spans="1:29" ht="20.100000000000001" customHeight="1">
      <c r="A17" s="1081" t="s">
        <v>1245</v>
      </c>
      <c r="B17" s="288" t="s">
        <v>1239</v>
      </c>
      <c r="C17" s="387">
        <f>IF(C14="HRQ 2",35,IF(C14="HRQ 3",50,IF(C14="HRQ 7",70,IF(C14="HRQ 10",80,IF(C14="HRQ 20",150,IF(C14="HRQ 30",200,IF(C14="HRQ 50",300,IF(C14="HRQ 70",300,IF(C14="HRQ 100",500,IF(C14="HRQ 200",740))))))))))</f>
        <v>150</v>
      </c>
      <c r="D17" s="288" t="s">
        <v>1238</v>
      </c>
      <c r="F17" s="343"/>
      <c r="G17" s="343"/>
      <c r="H17" s="343"/>
      <c r="X17" s="344"/>
      <c r="Y17" s="344"/>
      <c r="Z17" s="344"/>
      <c r="AA17" s="344"/>
    </row>
    <row r="18" spans="1:29" ht="20.100000000000001" customHeight="1">
      <c r="A18" s="1083"/>
      <c r="B18" s="388" t="str">
        <f>IF(OR(9.8*C4&lt;C17,9.8*C4=C17),"mg≤[mg]","mg＞[mg]")</f>
        <v>mg≤[mg]</v>
      </c>
      <c r="C18" s="1228" t="str">
        <f>IF(OR(9.8*C4&lt;C17,9.8*C4=C17),"校核合格","不合格，请重新选择型号")</f>
        <v>校核合格</v>
      </c>
      <c r="D18" s="1229"/>
      <c r="F18" s="343"/>
      <c r="G18" s="343"/>
      <c r="H18" s="343"/>
      <c r="X18" s="344"/>
      <c r="Y18" s="344"/>
      <c r="Z18" s="344"/>
      <c r="AA18" s="344"/>
    </row>
    <row r="19" spans="1:29" ht="20.100000000000001" customHeight="1">
      <c r="F19" s="343"/>
      <c r="G19" s="343"/>
      <c r="H19" s="343"/>
      <c r="Q19" s="343"/>
      <c r="X19" s="344"/>
      <c r="Y19" s="344"/>
      <c r="Z19" s="344"/>
      <c r="AA19" s="344"/>
    </row>
    <row r="20" spans="1:29" ht="20.100000000000001" customHeight="1">
      <c r="A20" s="1232" t="s">
        <v>1251</v>
      </c>
      <c r="B20" s="1233"/>
      <c r="C20" s="1233"/>
      <c r="D20" s="1234"/>
      <c r="F20" s="343"/>
      <c r="G20" s="343"/>
      <c r="H20" s="343"/>
      <c r="X20" s="344"/>
      <c r="Y20" s="344"/>
    </row>
    <row r="21" spans="1:29" ht="20.100000000000001" customHeight="1">
      <c r="A21" s="1235"/>
      <c r="B21" s="1236"/>
      <c r="C21" s="1236"/>
      <c r="D21" s="1237"/>
      <c r="F21" s="343"/>
      <c r="G21" s="343"/>
      <c r="H21" s="343"/>
      <c r="X21" s="344"/>
      <c r="Y21" s="344"/>
    </row>
    <row r="22" spans="1:29" ht="20.100000000000001" customHeight="1">
      <c r="A22" s="1235"/>
      <c r="B22" s="1236"/>
      <c r="C22" s="1236"/>
      <c r="D22" s="1237"/>
      <c r="F22" s="343"/>
      <c r="G22" s="343"/>
      <c r="H22" s="343"/>
      <c r="X22" s="344"/>
      <c r="Y22" s="344"/>
    </row>
    <row r="23" spans="1:29" ht="20.100000000000001" customHeight="1">
      <c r="A23" s="1238"/>
      <c r="B23" s="1239"/>
      <c r="C23" s="1239"/>
      <c r="D23" s="1240"/>
      <c r="F23" s="343"/>
      <c r="G23" s="343"/>
      <c r="H23" s="343"/>
      <c r="Y23" s="344"/>
      <c r="Z23" s="343"/>
      <c r="AA23" s="343"/>
      <c r="AB23" s="343"/>
    </row>
    <row r="24" spans="1:29" ht="20.100000000000001" customHeight="1">
      <c r="A24" s="1227" t="s">
        <v>1249</v>
      </c>
      <c r="B24" s="1227"/>
      <c r="C24" s="1227"/>
      <c r="D24" s="1227"/>
      <c r="F24" s="343"/>
      <c r="G24" s="343"/>
      <c r="H24" s="343"/>
      <c r="AB24" s="343"/>
    </row>
    <row r="25" spans="1:29" ht="20.100000000000001" customHeight="1">
      <c r="A25" s="1227"/>
      <c r="B25" s="1227"/>
      <c r="C25" s="1227"/>
      <c r="D25" s="1227"/>
      <c r="F25" s="343"/>
      <c r="G25" s="343"/>
      <c r="H25" s="343"/>
      <c r="P25" s="333"/>
      <c r="AB25" s="343"/>
    </row>
    <row r="26" spans="1:29" ht="20.100000000000001" customHeight="1">
      <c r="A26" s="1227"/>
      <c r="B26" s="1227"/>
      <c r="C26" s="1227"/>
      <c r="D26" s="1227"/>
      <c r="F26" s="343"/>
      <c r="G26" s="343"/>
      <c r="H26" s="343"/>
      <c r="AB26" s="343"/>
    </row>
    <row r="27" spans="1:29" ht="20.100000000000001" customHeight="1">
      <c r="A27" s="1227"/>
      <c r="B27" s="1227"/>
      <c r="C27" s="1227"/>
      <c r="D27" s="1227"/>
      <c r="F27" s="343"/>
      <c r="G27" s="343"/>
      <c r="H27" s="343"/>
      <c r="AB27" s="343"/>
    </row>
    <row r="28" spans="1:29" ht="20.100000000000001" customHeight="1">
      <c r="A28" s="333" t="s">
        <v>1243</v>
      </c>
      <c r="B28" s="389"/>
      <c r="C28" s="389"/>
      <c r="D28" s="389"/>
      <c r="G28" s="343"/>
      <c r="H28" s="343"/>
      <c r="AB28" s="343"/>
    </row>
    <row r="29" spans="1:29" ht="20.100000000000001" customHeight="1">
      <c r="F29" s="343"/>
      <c r="G29" s="343"/>
      <c r="H29" s="343"/>
      <c r="AB29" s="343"/>
    </row>
    <row r="30" spans="1:29" ht="20.100000000000001" customHeight="1">
      <c r="F30" s="343"/>
      <c r="G30" s="343"/>
      <c r="H30" s="343"/>
      <c r="AB30" s="343"/>
    </row>
    <row r="31" spans="1:29" ht="20.100000000000001" customHeight="1">
      <c r="F31" s="343"/>
      <c r="G31" s="343"/>
      <c r="H31" s="343"/>
      <c r="AB31" s="343"/>
    </row>
    <row r="32" spans="1:29" ht="20.100000000000001" customHeight="1">
      <c r="F32" s="343"/>
      <c r="G32" s="343"/>
      <c r="H32" s="343"/>
      <c r="AC32" s="343"/>
    </row>
    <row r="33" spans="1:29" ht="20.100000000000001" customHeight="1">
      <c r="F33" s="343"/>
      <c r="G33" s="343"/>
      <c r="H33" s="343"/>
      <c r="AC33" s="343"/>
    </row>
    <row r="34" spans="1:29" ht="20.100000000000001" customHeight="1">
      <c r="F34" s="343"/>
      <c r="G34" s="343"/>
      <c r="H34" s="343"/>
      <c r="AC34" s="343"/>
    </row>
    <row r="35" spans="1:29" ht="20.100000000000001" customHeight="1">
      <c r="F35" s="343"/>
      <c r="G35" s="343"/>
      <c r="H35" s="343"/>
      <c r="AC35" s="343"/>
    </row>
    <row r="36" spans="1:29" ht="20.100000000000001" customHeight="1">
      <c r="F36" s="343"/>
      <c r="G36" s="343"/>
      <c r="H36" s="343"/>
      <c r="AC36" s="343"/>
    </row>
    <row r="37" spans="1:29" ht="20.100000000000001" customHeight="1">
      <c r="F37" s="349"/>
      <c r="G37" s="343"/>
      <c r="H37" s="367"/>
      <c r="I37" s="367"/>
      <c r="J37" s="367"/>
      <c r="AC37" s="343"/>
    </row>
    <row r="38" spans="1:29" ht="20.100000000000001" customHeight="1">
      <c r="A38" s="333" t="s">
        <v>1244</v>
      </c>
      <c r="F38" s="333" t="s">
        <v>1233</v>
      </c>
      <c r="G38" s="343"/>
      <c r="H38" s="367"/>
      <c r="I38" s="367"/>
      <c r="J38" s="367"/>
      <c r="K38" s="384"/>
      <c r="L38" s="384"/>
      <c r="M38" s="384"/>
      <c r="AC38" s="343"/>
    </row>
    <row r="39" spans="1:29" ht="20.100000000000001" customHeight="1">
      <c r="F39" s="349"/>
      <c r="G39" s="343"/>
      <c r="H39" s="367"/>
      <c r="I39" s="367"/>
      <c r="J39" s="367"/>
      <c r="K39" s="384"/>
      <c r="L39" s="384"/>
      <c r="M39" s="384"/>
      <c r="AC39" s="343"/>
    </row>
    <row r="40" spans="1:29" ht="20.100000000000001" customHeight="1">
      <c r="F40" s="343"/>
      <c r="G40" s="343"/>
      <c r="H40" s="343"/>
      <c r="I40" s="343"/>
      <c r="J40" s="343"/>
      <c r="K40" s="367"/>
      <c r="L40" s="367"/>
      <c r="M40" s="367"/>
      <c r="AC40" s="343"/>
    </row>
    <row r="41" spans="1:29" ht="20.100000000000001" customHeight="1">
      <c r="F41" s="349"/>
      <c r="G41" s="343"/>
      <c r="H41" s="343"/>
      <c r="I41" s="343"/>
      <c r="J41" s="343"/>
      <c r="K41" s="343"/>
      <c r="L41" s="343"/>
      <c r="M41" s="343"/>
      <c r="AC41" s="343"/>
    </row>
    <row r="42" spans="1:29" ht="20.100000000000001" customHeight="1">
      <c r="F42" s="343"/>
      <c r="G42" s="343"/>
      <c r="H42" s="343"/>
      <c r="I42" s="343"/>
      <c r="J42" s="343"/>
      <c r="K42" s="343"/>
      <c r="L42" s="343"/>
      <c r="M42" s="343"/>
      <c r="AC42" s="343"/>
    </row>
    <row r="43" spans="1:29" ht="20.100000000000001" customHeight="1">
      <c r="F43" s="343"/>
      <c r="G43" s="343"/>
      <c r="H43" s="343"/>
      <c r="I43" s="343"/>
      <c r="J43" s="343"/>
      <c r="K43" s="343"/>
      <c r="L43" s="343"/>
      <c r="M43" s="343"/>
      <c r="AC43" s="343"/>
    </row>
    <row r="44" spans="1:29" ht="20.100000000000001" customHeight="1">
      <c r="F44" s="343"/>
      <c r="G44" s="343"/>
      <c r="H44" s="343"/>
      <c r="I44" s="343"/>
      <c r="J44" s="343"/>
      <c r="K44" s="343"/>
      <c r="L44" s="343"/>
      <c r="M44" s="343"/>
      <c r="AC44" s="343"/>
    </row>
    <row r="45" spans="1:29" ht="20.100000000000001" customHeight="1">
      <c r="F45" s="343"/>
      <c r="G45" s="343"/>
      <c r="H45" s="343"/>
      <c r="I45" s="343"/>
      <c r="J45" s="343"/>
      <c r="K45" s="343"/>
      <c r="L45" s="343"/>
      <c r="M45" s="343"/>
      <c r="N45" s="343"/>
      <c r="AC45" s="343"/>
    </row>
    <row r="46" spans="1:29" ht="20.100000000000001" customHeight="1">
      <c r="F46" s="343"/>
      <c r="G46" s="343"/>
      <c r="H46" s="343"/>
      <c r="I46" s="343"/>
      <c r="J46" s="343"/>
      <c r="K46" s="343"/>
      <c r="L46" s="343"/>
      <c r="M46" s="343"/>
      <c r="AC46" s="343"/>
    </row>
    <row r="47" spans="1:29" ht="20.100000000000001" customHeight="1">
      <c r="F47" s="343"/>
      <c r="G47" s="343"/>
      <c r="H47" s="343"/>
      <c r="I47" s="343"/>
      <c r="J47" s="343"/>
      <c r="K47" s="343"/>
      <c r="L47" s="343"/>
      <c r="M47" s="343"/>
      <c r="AC47" s="343"/>
    </row>
    <row r="48" spans="1:29" ht="20.100000000000001" customHeight="1">
      <c r="F48" s="343"/>
      <c r="G48" s="343"/>
      <c r="H48" s="343"/>
      <c r="I48" s="343"/>
      <c r="J48" s="343"/>
      <c r="K48" s="343"/>
      <c r="L48" s="343"/>
      <c r="M48" s="343"/>
      <c r="P48" s="343"/>
      <c r="Q48" s="343"/>
      <c r="AC48" s="343"/>
    </row>
    <row r="49" spans="6:29" ht="20.100000000000001" customHeight="1">
      <c r="F49" s="343"/>
      <c r="G49" s="343"/>
      <c r="H49" s="343"/>
      <c r="I49" s="343"/>
      <c r="J49" s="343"/>
      <c r="K49" s="343"/>
      <c r="L49" s="343"/>
      <c r="M49" s="343"/>
      <c r="AC49" s="343"/>
    </row>
    <row r="50" spans="6:29" ht="20.100000000000001" customHeight="1">
      <c r="F50" s="343"/>
      <c r="G50" s="343"/>
      <c r="H50" s="343"/>
      <c r="I50" s="343"/>
      <c r="J50" s="343"/>
      <c r="K50" s="343"/>
      <c r="L50" s="343"/>
      <c r="M50" s="343"/>
      <c r="AB50" s="343"/>
    </row>
    <row r="51" spans="6:29" ht="20.100000000000001" customHeight="1">
      <c r="F51" s="333" t="s">
        <v>1236</v>
      </c>
      <c r="G51" s="343"/>
      <c r="H51" s="343"/>
      <c r="I51" s="343"/>
      <c r="J51" s="343"/>
      <c r="K51" s="343"/>
      <c r="L51" s="343"/>
      <c r="M51" s="343"/>
      <c r="O51" s="343"/>
      <c r="AB51" s="343"/>
    </row>
    <row r="52" spans="6:29" ht="20.100000000000001" customHeight="1">
      <c r="F52" s="343"/>
      <c r="G52" s="343"/>
      <c r="H52" s="343"/>
      <c r="I52" s="343"/>
      <c r="J52" s="343"/>
      <c r="K52" s="343"/>
      <c r="L52" s="343"/>
      <c r="M52" s="343"/>
      <c r="AB52" s="343"/>
    </row>
    <row r="53" spans="6:29" ht="20.100000000000001" customHeight="1">
      <c r="F53" s="343"/>
      <c r="G53" s="343"/>
      <c r="H53" s="343"/>
      <c r="I53" s="343"/>
      <c r="J53" s="343"/>
      <c r="K53" s="343"/>
      <c r="L53" s="343"/>
      <c r="M53" s="343"/>
      <c r="AB53" s="343"/>
    </row>
    <row r="54" spans="6:29" ht="20.100000000000001" customHeight="1">
      <c r="F54" s="343"/>
      <c r="G54" s="343"/>
      <c r="H54" s="343"/>
      <c r="I54" s="343"/>
      <c r="J54" s="343"/>
      <c r="K54" s="343"/>
      <c r="L54" s="343"/>
      <c r="M54" s="343"/>
      <c r="AB54" s="343"/>
    </row>
    <row r="55" spans="6:29" ht="20.100000000000001" customHeight="1">
      <c r="F55" s="343"/>
      <c r="G55" s="343"/>
      <c r="H55" s="343"/>
      <c r="I55" s="343"/>
      <c r="J55" s="343"/>
      <c r="K55" s="343"/>
      <c r="L55" s="343"/>
      <c r="M55" s="343"/>
      <c r="AB55" s="343"/>
    </row>
    <row r="56" spans="6:29" ht="20.100000000000001" customHeight="1">
      <c r="F56" s="343"/>
      <c r="G56" s="343"/>
      <c r="H56" s="343"/>
      <c r="I56" s="343"/>
      <c r="J56" s="343"/>
      <c r="K56" s="343"/>
      <c r="L56" s="343"/>
      <c r="M56" s="343"/>
      <c r="AB56" s="343"/>
    </row>
    <row r="57" spans="6:29" ht="20.100000000000001" customHeight="1">
      <c r="F57" s="343"/>
      <c r="G57" s="343"/>
      <c r="H57" s="343"/>
      <c r="I57" s="343"/>
      <c r="J57" s="343"/>
      <c r="K57" s="343"/>
      <c r="L57" s="343"/>
      <c r="M57" s="343"/>
      <c r="AB57" s="343"/>
    </row>
    <row r="58" spans="6:29" ht="20.100000000000001" customHeight="1">
      <c r="F58" s="343"/>
      <c r="G58" s="343"/>
      <c r="H58" s="343"/>
      <c r="I58" s="343"/>
      <c r="J58" s="343"/>
      <c r="K58" s="343"/>
      <c r="L58" s="343"/>
      <c r="M58" s="343"/>
      <c r="AC58" s="343"/>
    </row>
    <row r="59" spans="6:29" ht="20.100000000000001" customHeight="1">
      <c r="F59" s="343"/>
      <c r="G59" s="343"/>
      <c r="H59" s="343"/>
      <c r="I59" s="343"/>
      <c r="J59" s="343"/>
      <c r="K59" s="343"/>
      <c r="L59" s="343"/>
      <c r="M59" s="343"/>
      <c r="AC59" s="343"/>
    </row>
    <row r="60" spans="6:29" ht="20.100000000000001" customHeight="1">
      <c r="F60" s="343"/>
      <c r="G60" s="343"/>
      <c r="H60" s="343"/>
      <c r="I60" s="343"/>
      <c r="J60" s="343"/>
      <c r="K60" s="343"/>
      <c r="L60" s="343"/>
      <c r="M60" s="343"/>
      <c r="AC60" s="343"/>
    </row>
    <row r="61" spans="6:29" ht="20.100000000000001" customHeight="1">
      <c r="F61" s="343"/>
      <c r="G61" s="343"/>
      <c r="H61" s="343"/>
      <c r="I61" s="343"/>
      <c r="J61" s="343"/>
      <c r="K61" s="343"/>
      <c r="L61" s="343"/>
      <c r="M61" s="343"/>
      <c r="AC61" s="343"/>
    </row>
    <row r="62" spans="6:29" ht="20.100000000000001" customHeight="1">
      <c r="F62" s="343"/>
      <c r="G62" s="343"/>
      <c r="H62" s="343"/>
      <c r="I62" s="343"/>
      <c r="J62" s="343"/>
      <c r="K62" s="343"/>
      <c r="L62" s="343"/>
      <c r="M62" s="343"/>
      <c r="AC62" s="343"/>
    </row>
    <row r="63" spans="6:29" ht="20.100000000000001" customHeight="1">
      <c r="F63" s="343"/>
      <c r="G63" s="343"/>
      <c r="H63" s="343"/>
      <c r="I63" s="343"/>
      <c r="J63" s="343"/>
      <c r="K63" s="343"/>
      <c r="L63" s="343"/>
      <c r="M63" s="343"/>
      <c r="AC63" s="343"/>
    </row>
    <row r="64" spans="6:29" ht="20.100000000000001" customHeight="1">
      <c r="F64" s="343"/>
      <c r="G64" s="343"/>
      <c r="H64" s="343"/>
      <c r="I64" s="343"/>
      <c r="J64" s="343"/>
      <c r="K64" s="343"/>
      <c r="L64" s="343"/>
      <c r="M64" s="343"/>
      <c r="AC64" s="343"/>
    </row>
    <row r="65" spans="6:29" ht="20.100000000000001" customHeight="1">
      <c r="F65" s="343"/>
      <c r="G65" s="343"/>
      <c r="H65" s="343"/>
      <c r="I65" s="343"/>
      <c r="J65" s="343"/>
      <c r="K65" s="343"/>
      <c r="L65" s="343"/>
      <c r="M65" s="343"/>
      <c r="AC65" s="343"/>
    </row>
    <row r="66" spans="6:29" ht="20.100000000000001" customHeight="1">
      <c r="F66" s="343"/>
      <c r="G66" s="343"/>
      <c r="H66" s="343"/>
      <c r="I66" s="343"/>
      <c r="J66" s="343"/>
      <c r="K66" s="343"/>
      <c r="L66" s="343"/>
      <c r="M66" s="343"/>
      <c r="AC66" s="343"/>
    </row>
    <row r="67" spans="6:29" ht="20.100000000000001" customHeight="1">
      <c r="F67" s="343"/>
      <c r="G67" s="343"/>
      <c r="H67" s="343"/>
      <c r="I67" s="343"/>
      <c r="J67" s="343"/>
      <c r="K67" s="343"/>
      <c r="L67" s="343"/>
      <c r="M67" s="343"/>
      <c r="AC67" s="343"/>
    </row>
    <row r="68" spans="6:29" ht="20.100000000000001" customHeight="1">
      <c r="F68" s="343"/>
      <c r="G68" s="343"/>
      <c r="H68" s="343"/>
      <c r="I68" s="343"/>
      <c r="J68" s="343"/>
      <c r="K68" s="343"/>
      <c r="L68" s="343"/>
      <c r="M68" s="343"/>
      <c r="AC68" s="343"/>
    </row>
    <row r="69" spans="6:29" ht="20.100000000000001" customHeight="1">
      <c r="F69" s="343"/>
      <c r="G69" s="343"/>
      <c r="H69" s="343"/>
      <c r="I69" s="343"/>
      <c r="J69" s="343"/>
      <c r="K69" s="343"/>
      <c r="L69" s="343"/>
      <c r="M69" s="343"/>
      <c r="AC69" s="343"/>
    </row>
    <row r="70" spans="6:29" ht="20.100000000000001" customHeight="1">
      <c r="F70" s="343"/>
      <c r="G70" s="343"/>
      <c r="H70" s="343"/>
      <c r="I70" s="343"/>
      <c r="J70" s="343"/>
      <c r="K70" s="343"/>
      <c r="L70" s="343"/>
      <c r="M70" s="343"/>
      <c r="AC70" s="343"/>
    </row>
    <row r="71" spans="6:29" ht="20.100000000000001" customHeight="1">
      <c r="F71" s="343"/>
      <c r="G71" s="343"/>
      <c r="H71" s="343"/>
      <c r="I71" s="343"/>
      <c r="J71" s="343"/>
      <c r="K71" s="343"/>
      <c r="L71" s="343"/>
      <c r="M71" s="343"/>
      <c r="P71" s="368"/>
      <c r="AC71" s="343"/>
    </row>
    <row r="72" spans="6:29" ht="20.100000000000001" customHeight="1">
      <c r="F72" s="343"/>
      <c r="G72" s="343"/>
      <c r="H72" s="343"/>
      <c r="I72" s="343"/>
      <c r="J72" s="343"/>
      <c r="K72" s="343"/>
      <c r="L72" s="343"/>
      <c r="M72" s="343"/>
      <c r="P72" s="368"/>
      <c r="AC72" s="343"/>
    </row>
    <row r="73" spans="6:29" ht="20.100000000000001" customHeight="1">
      <c r="F73" s="343"/>
      <c r="G73" s="343"/>
      <c r="H73" s="343"/>
      <c r="I73" s="343"/>
      <c r="J73" s="343"/>
      <c r="K73" s="343"/>
      <c r="L73" s="343"/>
      <c r="M73" s="343"/>
      <c r="P73" s="368"/>
      <c r="AC73" s="343"/>
    </row>
    <row r="74" spans="6:29" ht="20.100000000000001" customHeight="1">
      <c r="F74" s="343"/>
      <c r="G74" s="343"/>
      <c r="H74" s="343"/>
      <c r="I74" s="343"/>
      <c r="J74" s="343"/>
      <c r="K74" s="343"/>
      <c r="L74" s="343"/>
      <c r="M74" s="343"/>
      <c r="P74" s="368"/>
      <c r="AC74" s="343"/>
    </row>
    <row r="75" spans="6:29" ht="20.100000000000001" customHeight="1">
      <c r="F75" s="343"/>
      <c r="G75" s="343"/>
      <c r="H75" s="343"/>
      <c r="I75" s="343"/>
      <c r="J75" s="343"/>
      <c r="K75" s="343"/>
      <c r="L75" s="343"/>
      <c r="M75" s="343"/>
      <c r="P75" s="368"/>
      <c r="AC75" s="343"/>
    </row>
    <row r="76" spans="6:29" ht="20.100000000000001" customHeight="1">
      <c r="F76" s="343"/>
      <c r="G76" s="343"/>
      <c r="H76" s="343"/>
      <c r="I76" s="343"/>
      <c r="J76" s="343"/>
      <c r="K76" s="343"/>
      <c r="L76" s="343"/>
      <c r="M76" s="343"/>
      <c r="P76" s="368"/>
      <c r="AC76" s="343"/>
    </row>
    <row r="77" spans="6:29" ht="20.100000000000001" customHeight="1">
      <c r="F77" s="343"/>
      <c r="G77" s="343"/>
      <c r="H77" s="343"/>
      <c r="I77" s="343"/>
      <c r="J77" s="343"/>
      <c r="K77" s="343"/>
      <c r="L77" s="343"/>
      <c r="M77" s="343"/>
      <c r="AC77" s="343"/>
    </row>
    <row r="78" spans="6:29" ht="20.100000000000001" customHeight="1">
      <c r="F78" s="343"/>
      <c r="G78" s="343"/>
      <c r="H78" s="343"/>
      <c r="I78" s="343"/>
      <c r="J78" s="343"/>
      <c r="K78" s="343"/>
      <c r="L78" s="343"/>
      <c r="M78" s="343"/>
      <c r="AC78" s="343"/>
    </row>
    <row r="79" spans="6:29" ht="20.100000000000001" customHeight="1">
      <c r="F79" s="343"/>
      <c r="G79" s="343"/>
      <c r="H79" s="343"/>
      <c r="I79" s="343"/>
      <c r="J79" s="343"/>
      <c r="K79" s="343"/>
      <c r="L79" s="343"/>
      <c r="M79" s="343"/>
      <c r="AC79" s="343"/>
    </row>
    <row r="80" spans="6:29" ht="20.100000000000001" customHeight="1">
      <c r="F80" s="343"/>
      <c r="G80" s="343"/>
      <c r="H80" s="343"/>
      <c r="I80" s="343"/>
      <c r="J80" s="343"/>
      <c r="K80" s="343"/>
      <c r="L80" s="343"/>
      <c r="M80" s="343"/>
      <c r="AC80" s="343"/>
    </row>
    <row r="81" spans="6:29" ht="20.100000000000001" customHeight="1">
      <c r="F81" s="343"/>
      <c r="G81" s="343"/>
      <c r="H81" s="343"/>
      <c r="I81" s="343"/>
      <c r="J81" s="343"/>
      <c r="K81" s="343"/>
      <c r="L81" s="343"/>
      <c r="M81" s="343"/>
      <c r="AC81" s="343"/>
    </row>
    <row r="82" spans="6:29" ht="20.100000000000001" customHeight="1">
      <c r="F82" s="343"/>
      <c r="G82" s="343"/>
      <c r="H82" s="343"/>
      <c r="I82" s="343"/>
      <c r="J82" s="343"/>
      <c r="K82" s="343"/>
      <c r="L82" s="343"/>
      <c r="M82" s="343"/>
      <c r="AC82" s="343"/>
    </row>
    <row r="83" spans="6:29" ht="20.100000000000001" customHeight="1">
      <c r="F83" s="343"/>
      <c r="G83" s="343"/>
      <c r="H83" s="343"/>
      <c r="I83" s="343"/>
      <c r="J83" s="343"/>
      <c r="K83" s="343"/>
      <c r="L83" s="343"/>
      <c r="M83" s="343"/>
      <c r="AC83" s="343"/>
    </row>
    <row r="84" spans="6:29" ht="20.100000000000001" customHeight="1">
      <c r="F84" s="343"/>
      <c r="G84" s="343"/>
      <c r="H84" s="343"/>
      <c r="I84" s="343"/>
      <c r="J84" s="343"/>
      <c r="K84" s="343"/>
      <c r="L84" s="343"/>
      <c r="M84" s="343"/>
      <c r="AC84" s="343"/>
    </row>
    <row r="85" spans="6:29" ht="20.100000000000001" customHeight="1">
      <c r="F85" s="343"/>
      <c r="G85" s="343"/>
      <c r="H85" s="343"/>
      <c r="I85" s="343"/>
      <c r="J85" s="343"/>
      <c r="K85" s="343"/>
      <c r="L85" s="343"/>
      <c r="M85" s="343"/>
      <c r="AC85" s="343"/>
    </row>
    <row r="86" spans="6:29" ht="20.100000000000001" customHeight="1">
      <c r="F86" s="343"/>
      <c r="G86" s="343"/>
      <c r="H86" s="343"/>
      <c r="I86" s="343"/>
      <c r="J86" s="343"/>
      <c r="K86" s="343"/>
      <c r="L86" s="343"/>
      <c r="M86" s="343"/>
      <c r="AC86" s="343"/>
    </row>
    <row r="87" spans="6:29" ht="20.100000000000001" customHeight="1">
      <c r="F87" s="343"/>
      <c r="G87" s="343"/>
      <c r="H87" s="343"/>
      <c r="I87" s="343"/>
      <c r="J87" s="343"/>
      <c r="K87" s="343"/>
      <c r="L87" s="343"/>
      <c r="M87" s="343"/>
      <c r="AC87" s="343"/>
    </row>
    <row r="88" spans="6:29" ht="20.100000000000001" customHeight="1">
      <c r="F88" s="343"/>
      <c r="G88" s="343"/>
      <c r="H88" s="343"/>
      <c r="I88" s="343"/>
      <c r="J88" s="343"/>
      <c r="K88" s="343"/>
      <c r="L88" s="343"/>
      <c r="M88" s="343"/>
      <c r="AC88" s="343"/>
    </row>
    <row r="89" spans="6:29" ht="20.100000000000001" customHeight="1">
      <c r="F89" s="343"/>
      <c r="G89" s="343"/>
      <c r="H89" s="343"/>
      <c r="I89" s="343"/>
      <c r="J89" s="343"/>
      <c r="K89" s="343"/>
      <c r="L89" s="343"/>
      <c r="M89" s="343"/>
      <c r="AC89" s="343"/>
    </row>
    <row r="90" spans="6:29" ht="20.100000000000001" customHeight="1">
      <c r="F90" s="343"/>
      <c r="G90" s="343"/>
      <c r="H90" s="343"/>
      <c r="I90" s="343"/>
      <c r="J90" s="343"/>
      <c r="K90" s="343"/>
      <c r="L90" s="343"/>
      <c r="M90" s="343"/>
      <c r="AC90" s="343"/>
    </row>
    <row r="91" spans="6:29" ht="20.100000000000001" customHeight="1">
      <c r="F91" s="343"/>
      <c r="G91" s="343"/>
      <c r="H91" s="343"/>
      <c r="I91" s="343"/>
      <c r="J91" s="343"/>
      <c r="K91" s="343"/>
      <c r="L91" s="343"/>
      <c r="M91" s="343"/>
      <c r="AC91" s="343"/>
    </row>
    <row r="92" spans="6:29" ht="20.100000000000001" customHeight="1">
      <c r="F92" s="343"/>
      <c r="G92" s="343"/>
      <c r="H92" s="343"/>
      <c r="I92" s="343"/>
      <c r="J92" s="343"/>
      <c r="K92" s="343"/>
      <c r="L92" s="343"/>
      <c r="M92" s="343"/>
    </row>
    <row r="93" spans="6:29" ht="20.100000000000001" customHeight="1">
      <c r="F93" s="343"/>
      <c r="G93" s="343"/>
      <c r="H93" s="343"/>
      <c r="I93" s="343"/>
      <c r="J93" s="343"/>
      <c r="K93" s="343"/>
      <c r="L93" s="343"/>
      <c r="M93" s="343"/>
    </row>
    <row r="94" spans="6:29" ht="20.100000000000001" customHeight="1">
      <c r="F94" s="343"/>
      <c r="G94" s="343"/>
      <c r="H94" s="343"/>
      <c r="I94" s="343"/>
      <c r="J94" s="343"/>
      <c r="K94" s="343"/>
      <c r="L94" s="343"/>
      <c r="M94" s="343"/>
    </row>
    <row r="95" spans="6:29" ht="20.100000000000001" customHeight="1">
      <c r="F95" s="343"/>
      <c r="G95" s="343"/>
      <c r="H95" s="343"/>
      <c r="I95" s="343"/>
      <c r="J95" s="343"/>
      <c r="K95" s="343"/>
      <c r="L95" s="343"/>
      <c r="M95" s="343"/>
    </row>
    <row r="96" spans="6:29" ht="20.100000000000001" customHeight="1">
      <c r="K96" s="343"/>
      <c r="L96" s="343"/>
      <c r="M96" s="343"/>
    </row>
  </sheetData>
  <sheetProtection password="828E" sheet="1" objects="1" scenarios="1"/>
  <mergeCells count="9">
    <mergeCell ref="A1:D1"/>
    <mergeCell ref="A14:A16"/>
    <mergeCell ref="A24:D27"/>
    <mergeCell ref="A17:A18"/>
    <mergeCell ref="A4:A9"/>
    <mergeCell ref="A10:A13"/>
    <mergeCell ref="C18:D18"/>
    <mergeCell ref="C16:D16"/>
    <mergeCell ref="A20:D23"/>
  </mergeCells>
  <phoneticPr fontId="4" type="noConversion"/>
  <dataValidations count="2">
    <dataValidation type="list" allowBlank="1" showInputMessage="1" showErrorMessage="1" prompt="请选择" sqref="C15">
      <formula1>"调整螺丝(固定),液压缓冲"</formula1>
    </dataValidation>
    <dataValidation type="list" allowBlank="1" showInputMessage="1" showErrorMessage="1" sqref="C14">
      <formula1>"HRQ 2,HRQ 3,HRQ 7,HRQ 10,HRQ 20,HRQ 30,HRQ 50,HRQ 70,HRQ 100,HRQ 200,"</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sheetPr codeName="Sheet17"/>
  <dimension ref="A1:AE80"/>
  <sheetViews>
    <sheetView workbookViewId="0">
      <selection activeCell="E2" sqref="E2"/>
    </sheetView>
  </sheetViews>
  <sheetFormatPr defaultColWidth="15.625" defaultRowHeight="20.100000000000001" customHeight="1"/>
  <cols>
    <col min="1" max="1" width="15.625" style="262"/>
    <col min="2" max="2" width="22" style="262" customWidth="1"/>
    <col min="3" max="3" width="12.625" style="263" customWidth="1"/>
    <col min="4" max="4" width="17.625" style="262" customWidth="1"/>
    <col min="5" max="5" width="6.875" style="262" customWidth="1"/>
    <col min="6" max="8" width="10.625" style="262" customWidth="1"/>
    <col min="9" max="9" width="10" style="262" customWidth="1"/>
    <col min="10" max="10" width="9.75" style="262" customWidth="1"/>
    <col min="11" max="11" width="9.25" style="262" customWidth="1"/>
    <col min="12" max="20" width="10.625" style="262" customWidth="1"/>
    <col min="21" max="27" width="8.625" style="262" customWidth="1"/>
    <col min="28" max="16384" width="15.625" style="262"/>
  </cols>
  <sheetData>
    <row r="1" spans="1:31" ht="21.95" customHeight="1">
      <c r="A1" s="1051" t="s">
        <v>2768</v>
      </c>
      <c r="B1" s="776"/>
      <c r="C1" s="776"/>
      <c r="D1" s="776"/>
      <c r="F1" s="390"/>
    </row>
    <row r="2" spans="1:31" ht="20.100000000000001" customHeight="1">
      <c r="A2" s="333" t="s">
        <v>1252</v>
      </c>
      <c r="F2" s="262" t="s">
        <v>1356</v>
      </c>
    </row>
    <row r="3" spans="1:31" ht="20.100000000000001" customHeight="1">
      <c r="A3" s="266" t="s">
        <v>753</v>
      </c>
      <c r="B3" s="266" t="s">
        <v>754</v>
      </c>
      <c r="C3" s="267" t="s">
        <v>755</v>
      </c>
      <c r="D3" s="266" t="s">
        <v>762</v>
      </c>
      <c r="F3" s="391" t="s">
        <v>1303</v>
      </c>
      <c r="G3" s="391" t="s">
        <v>1304</v>
      </c>
      <c r="H3" s="391" t="s">
        <v>1270</v>
      </c>
      <c r="I3" s="1244" t="s">
        <v>1269</v>
      </c>
      <c r="J3" s="1245"/>
      <c r="K3" s="1246"/>
      <c r="P3" s="344"/>
      <c r="R3" s="344"/>
      <c r="S3" s="344"/>
      <c r="T3" s="344"/>
      <c r="V3" s="342"/>
      <c r="W3" s="342"/>
      <c r="X3" s="342"/>
      <c r="Y3" s="342"/>
      <c r="Z3" s="342"/>
      <c r="AA3" s="342"/>
      <c r="AB3" s="342"/>
      <c r="AC3" s="342"/>
      <c r="AD3" s="342"/>
    </row>
    <row r="4" spans="1:31" ht="20.100000000000001" customHeight="1">
      <c r="A4" s="1254" t="s">
        <v>756</v>
      </c>
      <c r="B4" s="266" t="s">
        <v>1159</v>
      </c>
      <c r="C4" s="369" t="s">
        <v>1254</v>
      </c>
      <c r="D4" s="266" t="s">
        <v>1343</v>
      </c>
      <c r="F4" s="1247" t="s">
        <v>1280</v>
      </c>
      <c r="G4" s="1241" t="s">
        <v>1282</v>
      </c>
      <c r="H4" s="392" t="s">
        <v>1283</v>
      </c>
      <c r="I4" s="1242" t="s">
        <v>1271</v>
      </c>
      <c r="J4" s="1242"/>
      <c r="K4" s="1242"/>
      <c r="T4" s="344"/>
      <c r="V4" s="342"/>
      <c r="W4" s="342"/>
      <c r="X4" s="342"/>
      <c r="Y4" s="342"/>
      <c r="Z4" s="342"/>
      <c r="AA4" s="342"/>
      <c r="AB4" s="342"/>
      <c r="AC4" s="342"/>
      <c r="AD4" s="342"/>
    </row>
    <row r="5" spans="1:31" ht="20.100000000000001" customHeight="1">
      <c r="A5" s="1255"/>
      <c r="B5" s="266" t="s">
        <v>1255</v>
      </c>
      <c r="C5" s="326">
        <v>0.15</v>
      </c>
      <c r="D5" s="266" t="s">
        <v>1358</v>
      </c>
      <c r="F5" s="1248"/>
      <c r="G5" s="1241"/>
      <c r="H5" s="392" t="s">
        <v>1284</v>
      </c>
      <c r="I5" s="1242" t="s">
        <v>1272</v>
      </c>
      <c r="J5" s="1242"/>
      <c r="K5" s="1242"/>
      <c r="T5" s="344"/>
      <c r="W5" s="343"/>
      <c r="X5" s="343"/>
      <c r="Y5" s="343"/>
      <c r="Z5" s="343"/>
      <c r="AA5" s="343"/>
      <c r="AB5" s="343"/>
      <c r="AC5" s="343"/>
      <c r="AD5" s="343"/>
      <c r="AE5" s="343"/>
    </row>
    <row r="6" spans="1:31" ht="20.100000000000001" customHeight="1">
      <c r="A6" s="1255"/>
      <c r="B6" s="266" t="s">
        <v>1256</v>
      </c>
      <c r="C6" s="330">
        <v>30</v>
      </c>
      <c r="D6" s="345"/>
      <c r="F6" s="1248"/>
      <c r="G6" s="1241"/>
      <c r="H6" s="392" t="s">
        <v>1285</v>
      </c>
      <c r="I6" s="1242" t="s">
        <v>1273</v>
      </c>
      <c r="J6" s="1242"/>
      <c r="K6" s="1242"/>
      <c r="T6" s="344"/>
      <c r="W6" s="344"/>
      <c r="X6" s="344"/>
      <c r="Y6" s="344"/>
      <c r="Z6" s="344"/>
      <c r="AA6" s="344"/>
      <c r="AB6" s="344"/>
      <c r="AC6" s="344"/>
      <c r="AD6" s="344"/>
      <c r="AE6" s="344"/>
    </row>
    <row r="7" spans="1:31" ht="20.100000000000001" customHeight="1">
      <c r="A7" s="1255"/>
      <c r="B7" s="266" t="s">
        <v>1257</v>
      </c>
      <c r="C7" s="326">
        <v>0.5</v>
      </c>
      <c r="D7" s="345"/>
      <c r="F7" s="1248"/>
      <c r="G7" s="1241"/>
      <c r="H7" s="393" t="s">
        <v>1286</v>
      </c>
      <c r="I7" s="1242"/>
      <c r="J7" s="1242"/>
      <c r="K7" s="1242"/>
      <c r="T7" s="344"/>
      <c r="W7" s="344"/>
      <c r="X7" s="344"/>
      <c r="Y7" s="344"/>
      <c r="Z7" s="344"/>
    </row>
    <row r="8" spans="1:31" ht="20.100000000000001" customHeight="1">
      <c r="A8" s="1255"/>
      <c r="B8" s="266" t="s">
        <v>1169</v>
      </c>
      <c r="C8" s="326">
        <v>0.5</v>
      </c>
      <c r="D8" s="345" t="s">
        <v>1168</v>
      </c>
      <c r="F8" s="1248"/>
      <c r="G8" s="1250" t="s">
        <v>1308</v>
      </c>
      <c r="H8" s="392" t="s">
        <v>1309</v>
      </c>
      <c r="I8" s="1242" t="s">
        <v>1311</v>
      </c>
      <c r="J8" s="1242"/>
      <c r="K8" s="1242"/>
      <c r="U8" s="344"/>
      <c r="V8" s="344"/>
      <c r="W8" s="344"/>
      <c r="X8" s="344"/>
      <c r="Y8" s="344"/>
      <c r="Z8" s="344"/>
      <c r="AA8" s="344"/>
      <c r="AB8" s="344"/>
      <c r="AC8" s="344"/>
    </row>
    <row r="9" spans="1:31" ht="20.100000000000001" customHeight="1">
      <c r="A9" s="1255"/>
      <c r="B9" s="266" t="s">
        <v>1265</v>
      </c>
      <c r="C9" s="326">
        <v>0.5</v>
      </c>
      <c r="D9" s="266" t="s">
        <v>1266</v>
      </c>
      <c r="F9" s="1248"/>
      <c r="G9" s="1251"/>
      <c r="H9" s="392" t="s">
        <v>1310</v>
      </c>
      <c r="I9" s="1242" t="s">
        <v>1312</v>
      </c>
      <c r="J9" s="1242"/>
      <c r="K9" s="1242"/>
      <c r="V9" s="344"/>
      <c r="W9" s="344"/>
      <c r="X9" s="344"/>
      <c r="Y9" s="344"/>
      <c r="Z9" s="344"/>
      <c r="AA9" s="344"/>
      <c r="AB9" s="344"/>
      <c r="AC9" s="344"/>
      <c r="AD9" s="344"/>
    </row>
    <row r="10" spans="1:31" ht="20.100000000000001" customHeight="1">
      <c r="A10" s="1256"/>
      <c r="B10" s="266" t="s">
        <v>1264</v>
      </c>
      <c r="C10" s="326">
        <v>0.1</v>
      </c>
      <c r="D10" s="266" t="s">
        <v>1316</v>
      </c>
      <c r="F10" s="1248"/>
      <c r="G10" s="1251"/>
      <c r="H10" s="392" t="s">
        <v>1285</v>
      </c>
      <c r="I10" s="1242" t="s">
        <v>1313</v>
      </c>
      <c r="J10" s="1242"/>
      <c r="K10" s="1242"/>
      <c r="U10" s="344"/>
      <c r="V10" s="344"/>
      <c r="W10" s="344"/>
    </row>
    <row r="11" spans="1:31" ht="20.100000000000001" customHeight="1">
      <c r="A11" s="394" t="s">
        <v>1344</v>
      </c>
      <c r="B11" s="266" t="s">
        <v>1177</v>
      </c>
      <c r="C11" s="287">
        <f>IF(C4="水平",9.8*C5*C10,IF(C4="竖直",9.8*C5*(1+C10),"请选择布局方式"))</f>
        <v>0.14699999999999999</v>
      </c>
      <c r="D11" s="266" t="s">
        <v>1207</v>
      </c>
      <c r="F11" s="1249"/>
      <c r="G11" s="1252"/>
      <c r="H11" s="393" t="s">
        <v>1286</v>
      </c>
      <c r="I11" s="1242" t="s">
        <v>1314</v>
      </c>
      <c r="J11" s="1242"/>
      <c r="K11" s="1242"/>
      <c r="U11" s="344"/>
      <c r="V11" s="344"/>
      <c r="W11" s="344"/>
    </row>
    <row r="12" spans="1:31" ht="20.100000000000001" customHeight="1">
      <c r="A12" s="395"/>
      <c r="B12" s="266" t="s">
        <v>1161</v>
      </c>
      <c r="C12" s="379">
        <f>C11/C9</f>
        <v>0.29399999999999998</v>
      </c>
      <c r="D12" s="266" t="s">
        <v>1302</v>
      </c>
      <c r="F12" s="1253" t="s">
        <v>1281</v>
      </c>
      <c r="G12" s="1241" t="s">
        <v>1361</v>
      </c>
      <c r="H12" s="393" t="s">
        <v>1287</v>
      </c>
      <c r="I12" s="1242" t="s">
        <v>1274</v>
      </c>
      <c r="J12" s="1242"/>
      <c r="K12" s="1242"/>
      <c r="Q12" s="344"/>
      <c r="U12" s="344"/>
      <c r="V12" s="344"/>
      <c r="W12" s="344"/>
    </row>
    <row r="13" spans="1:31" ht="20.100000000000001" customHeight="1">
      <c r="A13" s="395"/>
      <c r="B13" s="266" t="s">
        <v>1298</v>
      </c>
      <c r="C13" s="284">
        <f>SQRT(4/0.84*C12/PI()/C8)</f>
        <v>0.94406974388262965</v>
      </c>
      <c r="D13" s="266" t="s">
        <v>1268</v>
      </c>
      <c r="F13" s="1253"/>
      <c r="G13" s="1241"/>
      <c r="H13" s="393" t="s">
        <v>1288</v>
      </c>
      <c r="I13" s="1242" t="s">
        <v>1289</v>
      </c>
      <c r="J13" s="1242"/>
      <c r="K13" s="1242"/>
      <c r="U13" s="344"/>
      <c r="V13" s="344"/>
      <c r="W13" s="344"/>
    </row>
    <row r="14" spans="1:31" ht="20.100000000000001" customHeight="1">
      <c r="A14" s="395"/>
      <c r="B14" s="266" t="s">
        <v>1363</v>
      </c>
      <c r="C14" s="284">
        <f>SQRT(0.5*4/0.64*C12/PI()/C8)</f>
        <v>0.7647839014144554</v>
      </c>
      <c r="D14" s="266" t="s">
        <v>1299</v>
      </c>
      <c r="F14" s="1253"/>
      <c r="G14" s="1241"/>
      <c r="H14" s="393" t="s">
        <v>1290</v>
      </c>
      <c r="I14" s="1242"/>
      <c r="J14" s="1242"/>
      <c r="K14" s="1242"/>
      <c r="U14" s="344"/>
      <c r="V14" s="344"/>
      <c r="W14" s="344"/>
    </row>
    <row r="15" spans="1:31" ht="20.100000000000001" customHeight="1">
      <c r="A15" s="1081" t="s">
        <v>1411</v>
      </c>
      <c r="B15" s="266" t="s">
        <v>1326</v>
      </c>
      <c r="C15" s="287">
        <f>9.8*C5</f>
        <v>1.47</v>
      </c>
      <c r="D15" s="266" t="s">
        <v>1327</v>
      </c>
      <c r="F15" s="1253"/>
      <c r="G15" s="1241"/>
      <c r="H15" s="393" t="s">
        <v>1291</v>
      </c>
      <c r="I15" s="1242"/>
      <c r="J15" s="1242"/>
      <c r="K15" s="1243"/>
      <c r="L15" s="396"/>
      <c r="M15" s="397"/>
      <c r="N15" s="343"/>
      <c r="U15" s="344"/>
      <c r="V15" s="344"/>
      <c r="W15" s="344"/>
      <c r="X15" s="344"/>
    </row>
    <row r="16" spans="1:31" ht="20.100000000000001" customHeight="1">
      <c r="A16" s="1082"/>
      <c r="B16" s="266" t="s">
        <v>1262</v>
      </c>
      <c r="C16" s="287">
        <f>C6/C7</f>
        <v>60</v>
      </c>
      <c r="D16" s="266"/>
      <c r="F16" s="1253"/>
      <c r="G16" s="1241"/>
      <c r="H16" s="393" t="s">
        <v>1292</v>
      </c>
      <c r="I16" s="1242"/>
      <c r="J16" s="1242"/>
      <c r="K16" s="1243"/>
      <c r="L16" s="398"/>
      <c r="M16" s="399"/>
      <c r="N16" s="343"/>
      <c r="O16" s="344"/>
      <c r="U16" s="344"/>
      <c r="V16" s="344"/>
    </row>
    <row r="17" spans="1:29" ht="20.100000000000001" customHeight="1">
      <c r="A17" s="1082"/>
      <c r="B17" s="266" t="s">
        <v>1357</v>
      </c>
      <c r="C17" s="400">
        <v>40</v>
      </c>
      <c r="D17" s="266"/>
      <c r="F17" s="343"/>
      <c r="G17" s="343"/>
      <c r="H17" s="343"/>
      <c r="U17" s="344"/>
      <c r="V17" s="344"/>
      <c r="W17" s="344"/>
      <c r="X17" s="344"/>
    </row>
    <row r="18" spans="1:29" ht="20.100000000000001" customHeight="1">
      <c r="A18" s="1082"/>
      <c r="B18" s="266" t="s">
        <v>1369</v>
      </c>
      <c r="C18" s="401">
        <v>50</v>
      </c>
      <c r="D18" s="345"/>
      <c r="F18" s="343" t="s">
        <v>1365</v>
      </c>
      <c r="G18" s="343"/>
      <c r="H18" s="343"/>
      <c r="I18" s="343"/>
      <c r="J18" s="343"/>
      <c r="K18" s="343"/>
      <c r="L18" s="343"/>
      <c r="M18" s="343"/>
      <c r="U18" s="344"/>
      <c r="V18" s="344"/>
      <c r="W18" s="344"/>
      <c r="X18" s="344"/>
    </row>
    <row r="19" spans="1:29" ht="20.100000000000001" customHeight="1">
      <c r="A19" s="1082"/>
      <c r="B19" s="345" t="s">
        <v>1347</v>
      </c>
      <c r="C19" s="402" t="s">
        <v>1359</v>
      </c>
      <c r="D19" s="1090" t="s">
        <v>1366</v>
      </c>
      <c r="F19" s="343"/>
      <c r="G19" s="343"/>
      <c r="H19" s="343"/>
      <c r="I19" s="343"/>
      <c r="J19" s="343"/>
      <c r="K19" s="343"/>
      <c r="L19" s="343"/>
      <c r="M19" s="343"/>
      <c r="U19" s="344"/>
      <c r="V19" s="344"/>
      <c r="W19" s="344"/>
      <c r="X19" s="344"/>
    </row>
    <row r="20" spans="1:29" ht="20.100000000000001" customHeight="1">
      <c r="A20" s="1082"/>
      <c r="B20" s="345" t="s">
        <v>1348</v>
      </c>
      <c r="C20" s="403">
        <v>20</v>
      </c>
      <c r="D20" s="1082"/>
      <c r="F20" s="343"/>
      <c r="G20" s="343"/>
      <c r="H20" s="343"/>
      <c r="I20" s="343"/>
      <c r="J20" s="343"/>
      <c r="K20" s="343"/>
      <c r="L20" s="343"/>
      <c r="M20" s="343"/>
      <c r="U20" s="344"/>
      <c r="V20" s="344"/>
    </row>
    <row r="21" spans="1:29" ht="20.100000000000001" customHeight="1">
      <c r="A21" s="1082"/>
      <c r="B21" s="345" t="s">
        <v>1349</v>
      </c>
      <c r="C21" s="403">
        <v>60</v>
      </c>
      <c r="D21" s="1083"/>
      <c r="F21" s="343"/>
      <c r="G21" s="343"/>
      <c r="H21" s="343"/>
      <c r="I21" s="343"/>
      <c r="J21" s="343"/>
      <c r="K21" s="343"/>
      <c r="L21" s="343"/>
      <c r="M21" s="343"/>
      <c r="U21" s="344"/>
      <c r="V21" s="344"/>
    </row>
    <row r="22" spans="1:29" ht="20.100000000000001" customHeight="1">
      <c r="A22" s="1083"/>
      <c r="B22" s="345" t="s">
        <v>1362</v>
      </c>
      <c r="C22" s="1257" t="str">
        <f>LEFT(C19,3)&amp;" "&amp;C20&amp;"x"&amp;C21</f>
        <v>HLH 20x60</v>
      </c>
      <c r="D22" s="1258"/>
      <c r="F22" s="343"/>
      <c r="G22" s="343"/>
      <c r="H22" s="343"/>
      <c r="I22" s="343"/>
      <c r="J22" s="343"/>
      <c r="K22" s="343"/>
      <c r="L22" s="343"/>
      <c r="M22" s="343"/>
      <c r="O22" s="343"/>
      <c r="P22" s="333"/>
      <c r="U22" s="344"/>
      <c r="V22" s="344"/>
    </row>
    <row r="23" spans="1:29" ht="20.100000000000001" customHeight="1">
      <c r="A23" s="333" t="s">
        <v>1364</v>
      </c>
      <c r="F23" s="343"/>
      <c r="G23" s="343"/>
      <c r="H23" s="343"/>
      <c r="I23" s="343"/>
      <c r="J23" s="343"/>
      <c r="K23" s="343"/>
      <c r="L23" s="343"/>
      <c r="M23" s="343"/>
      <c r="V23" s="344"/>
      <c r="W23" s="343"/>
      <c r="X23" s="343"/>
      <c r="Y23" s="343"/>
    </row>
    <row r="24" spans="1:29" ht="20.100000000000001" customHeight="1">
      <c r="F24" s="343"/>
      <c r="G24" s="343"/>
      <c r="H24" s="343"/>
      <c r="I24" s="343"/>
      <c r="J24" s="343"/>
      <c r="K24" s="343"/>
      <c r="L24" s="343"/>
      <c r="M24" s="343"/>
      <c r="Y24" s="343"/>
    </row>
    <row r="25" spans="1:29" ht="20.100000000000001" customHeight="1">
      <c r="F25" s="343"/>
      <c r="G25" s="343"/>
      <c r="H25" s="343"/>
      <c r="I25" s="343"/>
      <c r="J25" s="343"/>
      <c r="K25" s="343"/>
      <c r="L25" s="343"/>
      <c r="M25" s="343"/>
      <c r="P25" s="343"/>
      <c r="Y25" s="343"/>
    </row>
    <row r="26" spans="1:29" ht="20.100000000000001" customHeight="1">
      <c r="F26" s="333"/>
      <c r="G26" s="343"/>
      <c r="H26" s="343"/>
      <c r="I26" s="343"/>
      <c r="J26" s="343"/>
      <c r="K26" s="343"/>
      <c r="L26" s="343"/>
      <c r="M26" s="343"/>
      <c r="AB26" s="343"/>
    </row>
    <row r="27" spans="1:29" ht="20.100000000000001" customHeight="1">
      <c r="F27" s="343"/>
      <c r="G27" s="343"/>
      <c r="H27" s="343"/>
      <c r="I27" s="343"/>
      <c r="J27" s="343"/>
      <c r="K27" s="343"/>
      <c r="L27" s="343"/>
      <c r="M27" s="343"/>
      <c r="AB27" s="343"/>
    </row>
    <row r="28" spans="1:29" ht="20.100000000000001" customHeight="1">
      <c r="F28" s="343"/>
      <c r="G28" s="343"/>
      <c r="H28" s="343"/>
      <c r="I28" s="343"/>
      <c r="J28" s="343"/>
      <c r="K28" s="343"/>
      <c r="L28" s="343"/>
      <c r="M28" s="343"/>
      <c r="AB28" s="343"/>
    </row>
    <row r="29" spans="1:29" ht="20.100000000000001" customHeight="1">
      <c r="A29" s="333"/>
      <c r="F29" s="343"/>
      <c r="G29" s="343"/>
      <c r="H29" s="343"/>
      <c r="I29" s="343"/>
      <c r="J29" s="343"/>
      <c r="K29" s="343"/>
      <c r="L29" s="343"/>
      <c r="M29" s="343"/>
      <c r="AB29" s="343"/>
    </row>
    <row r="30" spans="1:29" ht="20.100000000000001" customHeight="1">
      <c r="F30" s="343"/>
      <c r="G30" s="343"/>
      <c r="H30" s="343"/>
      <c r="I30" s="343"/>
      <c r="J30" s="343"/>
      <c r="K30" s="343"/>
      <c r="L30" s="343"/>
      <c r="M30" s="343"/>
      <c r="AB30" s="343"/>
    </row>
    <row r="31" spans="1:29" ht="20.100000000000001" customHeight="1">
      <c r="F31" s="343"/>
      <c r="G31" s="343"/>
      <c r="H31" s="343"/>
      <c r="I31" s="343"/>
      <c r="J31" s="343"/>
      <c r="K31" s="343"/>
      <c r="L31" s="343"/>
      <c r="M31" s="343"/>
      <c r="AB31" s="343"/>
    </row>
    <row r="32" spans="1:29" ht="20.100000000000001" customHeight="1">
      <c r="F32" s="343"/>
      <c r="G32" s="343"/>
      <c r="H32" s="343"/>
      <c r="I32" s="343"/>
      <c r="J32" s="343"/>
      <c r="K32" s="343"/>
      <c r="L32" s="343"/>
      <c r="M32" s="343"/>
      <c r="AC32" s="343"/>
    </row>
    <row r="33" spans="6:29" ht="20.100000000000001" customHeight="1">
      <c r="F33" s="343"/>
      <c r="G33" s="343"/>
      <c r="H33" s="343"/>
      <c r="I33" s="343"/>
      <c r="J33" s="343"/>
      <c r="K33" s="343"/>
      <c r="L33" s="343"/>
      <c r="M33" s="343"/>
      <c r="AC33" s="343"/>
    </row>
    <row r="34" spans="6:29" ht="20.100000000000001" customHeight="1">
      <c r="F34" s="343"/>
      <c r="G34" s="343"/>
      <c r="H34" s="343"/>
      <c r="I34" s="343"/>
      <c r="J34" s="343"/>
      <c r="K34" s="343"/>
      <c r="L34" s="343"/>
      <c r="M34" s="343"/>
      <c r="Q34" s="343"/>
      <c r="AC34" s="343"/>
    </row>
    <row r="35" spans="6:29" ht="20.100000000000001" customHeight="1">
      <c r="F35" s="343"/>
      <c r="G35" s="343"/>
      <c r="H35" s="343"/>
      <c r="I35" s="343"/>
      <c r="J35" s="343"/>
      <c r="K35" s="343"/>
      <c r="L35" s="343"/>
      <c r="M35" s="343"/>
      <c r="AC35" s="343"/>
    </row>
    <row r="36" spans="6:29" ht="20.100000000000001" customHeight="1">
      <c r="F36" s="343"/>
      <c r="G36" s="343"/>
      <c r="H36" s="343"/>
      <c r="I36" s="343"/>
      <c r="J36" s="343"/>
      <c r="K36" s="343"/>
      <c r="L36" s="343"/>
      <c r="M36" s="343"/>
      <c r="AC36" s="343"/>
    </row>
    <row r="37" spans="6:29" ht="20.100000000000001" customHeight="1">
      <c r="F37" s="343"/>
      <c r="G37" s="343"/>
      <c r="H37" s="343"/>
      <c r="I37" s="343"/>
      <c r="J37" s="343"/>
      <c r="K37" s="343"/>
      <c r="L37" s="343"/>
      <c r="M37" s="343"/>
      <c r="AC37" s="343"/>
    </row>
    <row r="38" spans="6:29" ht="20.100000000000001" customHeight="1">
      <c r="F38" s="343"/>
      <c r="G38" s="343"/>
      <c r="H38" s="343"/>
      <c r="I38" s="343"/>
      <c r="J38" s="343"/>
      <c r="K38" s="343"/>
      <c r="L38" s="343"/>
      <c r="M38" s="343"/>
      <c r="AC38" s="343"/>
    </row>
    <row r="39" spans="6:29" ht="20.100000000000001" customHeight="1">
      <c r="F39" s="343"/>
      <c r="G39" s="343"/>
      <c r="H39" s="343"/>
      <c r="I39" s="343"/>
      <c r="J39" s="343"/>
      <c r="K39" s="343"/>
      <c r="L39" s="343"/>
      <c r="M39" s="343"/>
      <c r="AB39" s="343"/>
    </row>
    <row r="40" spans="6:29" ht="20.100000000000001" customHeight="1">
      <c r="F40" s="343"/>
      <c r="G40" s="343"/>
      <c r="H40" s="343"/>
      <c r="I40" s="343"/>
      <c r="J40" s="343"/>
      <c r="K40" s="343"/>
      <c r="L40" s="343"/>
      <c r="M40" s="343"/>
      <c r="AB40" s="343"/>
    </row>
    <row r="41" spans="6:29" ht="20.100000000000001" customHeight="1">
      <c r="F41" s="343"/>
      <c r="G41" s="343"/>
      <c r="H41" s="343"/>
      <c r="I41" s="343"/>
      <c r="J41" s="343"/>
      <c r="K41" s="343"/>
      <c r="L41" s="343"/>
      <c r="M41" s="343"/>
      <c r="AB41" s="343"/>
    </row>
    <row r="42" spans="6:29" ht="20.100000000000001" customHeight="1">
      <c r="F42" s="343"/>
      <c r="G42" s="343"/>
      <c r="H42" s="343"/>
      <c r="I42" s="343"/>
      <c r="J42" s="343"/>
      <c r="K42" s="343"/>
      <c r="L42" s="343"/>
      <c r="M42" s="343"/>
      <c r="AB42" s="343"/>
    </row>
    <row r="43" spans="6:29" ht="20.100000000000001" customHeight="1">
      <c r="F43" s="343"/>
      <c r="G43" s="343"/>
      <c r="H43" s="343"/>
      <c r="I43" s="343"/>
      <c r="J43" s="343"/>
      <c r="K43" s="343"/>
      <c r="L43" s="343"/>
      <c r="M43" s="343"/>
      <c r="AB43" s="343"/>
    </row>
    <row r="44" spans="6:29" ht="20.100000000000001" customHeight="1">
      <c r="F44" s="343"/>
      <c r="G44" s="343"/>
      <c r="H44" s="343"/>
      <c r="I44" s="343"/>
      <c r="J44" s="343"/>
      <c r="K44" s="343"/>
      <c r="L44" s="343"/>
      <c r="M44" s="343"/>
      <c r="AB44" s="343"/>
    </row>
    <row r="45" spans="6:29" ht="20.100000000000001" customHeight="1">
      <c r="F45" s="343"/>
      <c r="G45" s="343"/>
      <c r="H45" s="343"/>
      <c r="K45" s="368"/>
      <c r="AB45" s="343"/>
    </row>
    <row r="46" spans="6:29" ht="20.100000000000001" customHeight="1">
      <c r="F46" s="343"/>
      <c r="G46" s="343"/>
      <c r="H46" s="343"/>
      <c r="K46" s="368"/>
      <c r="AB46" s="343"/>
    </row>
    <row r="47" spans="6:29" ht="20.100000000000001" customHeight="1">
      <c r="F47" s="343"/>
      <c r="G47" s="343"/>
      <c r="H47" s="343"/>
      <c r="K47" s="368"/>
      <c r="AC47" s="343"/>
    </row>
    <row r="48" spans="6:29" ht="20.100000000000001" customHeight="1">
      <c r="F48" s="343"/>
      <c r="G48" s="343"/>
      <c r="H48" s="343"/>
      <c r="I48" s="343"/>
      <c r="J48" s="343"/>
      <c r="K48" s="343"/>
      <c r="L48" s="343"/>
      <c r="M48" s="343"/>
      <c r="P48" s="368"/>
      <c r="AC48" s="343"/>
    </row>
    <row r="49" spans="1:29" ht="20.100000000000001" customHeight="1">
      <c r="F49" s="343"/>
      <c r="G49" s="343"/>
      <c r="H49" s="343"/>
      <c r="I49" s="343"/>
      <c r="J49" s="343"/>
      <c r="K49" s="343"/>
      <c r="L49" s="343"/>
      <c r="M49" s="343"/>
      <c r="P49" s="368"/>
      <c r="AC49" s="343"/>
    </row>
    <row r="50" spans="1:29" ht="20.100000000000001" customHeight="1">
      <c r="F50" s="343"/>
      <c r="G50" s="343"/>
      <c r="H50" s="343"/>
      <c r="I50" s="343"/>
      <c r="J50" s="343"/>
      <c r="K50" s="343"/>
      <c r="L50" s="343"/>
      <c r="M50" s="343"/>
      <c r="P50" s="368"/>
      <c r="AC50" s="343"/>
    </row>
    <row r="51" spans="1:29" ht="20.100000000000001" customHeight="1">
      <c r="F51" s="343"/>
      <c r="G51" s="343"/>
      <c r="H51" s="343"/>
      <c r="I51" s="343"/>
      <c r="J51" s="343"/>
      <c r="K51" s="343"/>
      <c r="L51" s="343"/>
      <c r="M51" s="343"/>
      <c r="AC51" s="343"/>
    </row>
    <row r="52" spans="1:29" ht="20.100000000000001" customHeight="1">
      <c r="A52" s="1232" t="s">
        <v>1380</v>
      </c>
      <c r="B52" s="1233"/>
      <c r="C52" s="1233"/>
      <c r="D52" s="1234"/>
      <c r="F52" s="343"/>
      <c r="G52" s="343"/>
      <c r="H52" s="343"/>
      <c r="I52" s="343"/>
      <c r="J52" s="343"/>
      <c r="K52" s="343"/>
      <c r="L52" s="343"/>
      <c r="M52" s="343"/>
      <c r="AC52" s="343"/>
    </row>
    <row r="53" spans="1:29" ht="20.100000000000001" customHeight="1">
      <c r="A53" s="1235"/>
      <c r="B53" s="1236"/>
      <c r="C53" s="1236"/>
      <c r="D53" s="1237"/>
      <c r="F53" s="343"/>
      <c r="G53" s="343"/>
      <c r="H53" s="343"/>
      <c r="I53" s="343"/>
      <c r="J53" s="343"/>
      <c r="K53" s="343"/>
      <c r="L53" s="343"/>
      <c r="M53" s="343"/>
      <c r="AC53" s="343"/>
    </row>
    <row r="54" spans="1:29" ht="20.100000000000001" customHeight="1">
      <c r="A54" s="1235"/>
      <c r="B54" s="1236"/>
      <c r="C54" s="1236"/>
      <c r="D54" s="1237"/>
      <c r="F54" s="343"/>
      <c r="G54" s="343"/>
      <c r="H54" s="343"/>
      <c r="I54" s="343"/>
      <c r="J54" s="343"/>
      <c r="K54" s="343"/>
      <c r="L54" s="343"/>
      <c r="M54" s="343"/>
      <c r="AC54" s="343"/>
    </row>
    <row r="55" spans="1:29" ht="20.100000000000001" customHeight="1">
      <c r="A55" s="1238"/>
      <c r="B55" s="1239"/>
      <c r="C55" s="1239"/>
      <c r="D55" s="1240"/>
      <c r="F55" s="343"/>
      <c r="G55" s="343"/>
      <c r="H55" s="343"/>
      <c r="I55" s="343"/>
      <c r="J55" s="343"/>
      <c r="K55" s="343"/>
      <c r="L55" s="343"/>
      <c r="M55" s="343"/>
      <c r="AC55" s="343"/>
    </row>
    <row r="56" spans="1:29" ht="20.100000000000001" customHeight="1">
      <c r="A56" s="1227" t="s">
        <v>1381</v>
      </c>
      <c r="B56" s="1227"/>
      <c r="C56" s="1227"/>
      <c r="D56" s="1227"/>
      <c r="F56" s="343"/>
      <c r="G56" s="343"/>
      <c r="H56" s="343"/>
      <c r="I56" s="343"/>
      <c r="J56" s="343"/>
      <c r="K56" s="343"/>
      <c r="L56" s="343"/>
      <c r="M56" s="343"/>
      <c r="AC56" s="343"/>
    </row>
    <row r="57" spans="1:29" ht="20.100000000000001" customHeight="1">
      <c r="A57" s="1227"/>
      <c r="B57" s="1227"/>
      <c r="C57" s="1227"/>
      <c r="D57" s="1227"/>
      <c r="F57" s="343"/>
      <c r="G57" s="343"/>
      <c r="H57" s="343"/>
      <c r="I57" s="343"/>
      <c r="J57" s="343"/>
      <c r="K57" s="343"/>
      <c r="L57" s="343"/>
      <c r="M57" s="343"/>
      <c r="AC57" s="343"/>
    </row>
    <row r="58" spans="1:29" ht="20.100000000000001" customHeight="1">
      <c r="A58" s="1227"/>
      <c r="B58" s="1227"/>
      <c r="C58" s="1227"/>
      <c r="D58" s="1227"/>
      <c r="F58" s="343"/>
      <c r="G58" s="343"/>
      <c r="H58" s="343"/>
      <c r="I58" s="343"/>
      <c r="J58" s="343"/>
      <c r="K58" s="343"/>
      <c r="L58" s="343"/>
      <c r="M58" s="343"/>
      <c r="AC58" s="343"/>
    </row>
    <row r="59" spans="1:29" ht="20.100000000000001" customHeight="1">
      <c r="A59" s="1227"/>
      <c r="B59" s="1227"/>
      <c r="C59" s="1227"/>
      <c r="D59" s="1227"/>
      <c r="F59" s="343"/>
      <c r="G59" s="343"/>
      <c r="H59" s="343"/>
      <c r="I59" s="343"/>
      <c r="J59" s="343"/>
      <c r="K59" s="343"/>
      <c r="L59" s="343"/>
      <c r="M59" s="343"/>
      <c r="AC59" s="343"/>
    </row>
    <row r="60" spans="1:29" ht="20.100000000000001" customHeight="1">
      <c r="A60" s="333"/>
      <c r="B60" s="389"/>
      <c r="C60" s="389"/>
      <c r="D60" s="389"/>
      <c r="F60" s="343"/>
      <c r="G60" s="343"/>
      <c r="H60" s="343"/>
      <c r="I60" s="343"/>
      <c r="J60" s="343"/>
      <c r="K60" s="343"/>
      <c r="L60" s="343"/>
      <c r="M60" s="343"/>
      <c r="X60" s="343"/>
    </row>
    <row r="61" spans="1:29" ht="20.100000000000001" customHeight="1">
      <c r="F61" s="343"/>
      <c r="G61" s="343"/>
      <c r="H61" s="343"/>
      <c r="I61" s="343"/>
      <c r="J61" s="343"/>
      <c r="K61" s="343"/>
      <c r="L61" s="343"/>
      <c r="M61" s="343"/>
      <c r="X61" s="343"/>
    </row>
    <row r="62" spans="1:29" ht="20.100000000000001" customHeight="1">
      <c r="F62" s="343"/>
      <c r="G62" s="343"/>
      <c r="H62" s="343"/>
      <c r="I62" s="343"/>
      <c r="J62" s="343"/>
      <c r="K62" s="343"/>
      <c r="L62" s="343"/>
      <c r="M62" s="343"/>
      <c r="X62" s="343"/>
    </row>
    <row r="63" spans="1:29" ht="20.100000000000001" customHeight="1">
      <c r="F63" s="343"/>
      <c r="G63" s="343"/>
      <c r="H63" s="343"/>
      <c r="I63" s="343"/>
      <c r="J63" s="343"/>
      <c r="K63" s="343"/>
      <c r="L63" s="343"/>
      <c r="M63" s="343"/>
      <c r="AC63" s="343"/>
    </row>
    <row r="64" spans="1:29" ht="20.100000000000001" customHeight="1">
      <c r="F64" s="343"/>
      <c r="G64" s="343"/>
      <c r="H64" s="343"/>
      <c r="I64" s="343"/>
      <c r="J64" s="343"/>
      <c r="K64" s="343"/>
      <c r="L64" s="343"/>
      <c r="M64" s="343"/>
      <c r="AC64" s="343"/>
    </row>
    <row r="65" spans="6:29" ht="20.100000000000001" customHeight="1">
      <c r="F65" s="343"/>
      <c r="G65" s="343"/>
      <c r="H65" s="343"/>
      <c r="I65" s="343"/>
      <c r="J65" s="343"/>
      <c r="K65" s="343"/>
      <c r="L65" s="343"/>
      <c r="M65" s="343"/>
      <c r="AC65" s="343"/>
    </row>
    <row r="66" spans="6:29" ht="20.100000000000001" customHeight="1">
      <c r="F66" s="343"/>
      <c r="G66" s="343"/>
      <c r="H66" s="343"/>
      <c r="I66" s="343"/>
      <c r="J66" s="343"/>
      <c r="K66" s="343"/>
      <c r="L66" s="343"/>
      <c r="M66" s="343"/>
      <c r="AC66" s="343"/>
    </row>
    <row r="67" spans="6:29" ht="20.100000000000001" customHeight="1">
      <c r="F67" s="343"/>
      <c r="G67" s="343"/>
      <c r="H67" s="343"/>
      <c r="I67" s="343"/>
      <c r="J67" s="343"/>
      <c r="K67" s="343"/>
      <c r="L67" s="343"/>
      <c r="M67" s="343"/>
      <c r="AC67" s="343"/>
    </row>
    <row r="68" spans="6:29" ht="20.100000000000001" customHeight="1">
      <c r="F68" s="343"/>
      <c r="G68" s="343"/>
      <c r="H68" s="343"/>
      <c r="I68" s="343"/>
      <c r="J68" s="343"/>
      <c r="K68" s="343"/>
      <c r="AC68" s="343"/>
    </row>
    <row r="69" spans="6:29" ht="20.100000000000001" customHeight="1">
      <c r="F69" s="343"/>
      <c r="G69" s="343"/>
      <c r="H69" s="343"/>
      <c r="I69" s="343"/>
      <c r="J69" s="343"/>
      <c r="K69" s="343"/>
      <c r="AC69" s="343"/>
    </row>
    <row r="70" spans="6:29" ht="20.100000000000001" customHeight="1">
      <c r="F70" s="343"/>
      <c r="G70" s="343"/>
      <c r="H70" s="343"/>
      <c r="I70" s="343"/>
      <c r="J70" s="343"/>
      <c r="K70" s="343"/>
      <c r="AC70" s="343"/>
    </row>
    <row r="71" spans="6:29" ht="20.100000000000001" customHeight="1">
      <c r="K71" s="343"/>
      <c r="AC71" s="343"/>
    </row>
    <row r="72" spans="6:29" ht="20.100000000000001" customHeight="1">
      <c r="AC72" s="343"/>
    </row>
    <row r="73" spans="6:29" ht="20.100000000000001" customHeight="1">
      <c r="AC73" s="343"/>
    </row>
    <row r="74" spans="6:29" ht="20.100000000000001" customHeight="1">
      <c r="AC74" s="343"/>
    </row>
    <row r="75" spans="6:29" ht="20.100000000000001" customHeight="1">
      <c r="AC75" s="343"/>
    </row>
    <row r="76" spans="6:29" ht="20.100000000000001" customHeight="1">
      <c r="AC76" s="343"/>
    </row>
    <row r="77" spans="6:29" ht="20.100000000000001" customHeight="1">
      <c r="AC77" s="343"/>
    </row>
    <row r="78" spans="6:29" ht="20.100000000000001" customHeight="1">
      <c r="AC78" s="343"/>
    </row>
    <row r="79" spans="6:29" ht="20.100000000000001" customHeight="1">
      <c r="AC79" s="343"/>
    </row>
    <row r="80" spans="6:29" ht="20.100000000000001" customHeight="1">
      <c r="AC80" s="343"/>
    </row>
  </sheetData>
  <sheetProtection password="828E" sheet="1" objects="1" scenarios="1"/>
  <mergeCells count="22">
    <mergeCell ref="A52:D55"/>
    <mergeCell ref="A56:D59"/>
    <mergeCell ref="F12:F16"/>
    <mergeCell ref="A15:A22"/>
    <mergeCell ref="A4:A10"/>
    <mergeCell ref="D19:D21"/>
    <mergeCell ref="C22:D22"/>
    <mergeCell ref="G12:G16"/>
    <mergeCell ref="I12:K12"/>
    <mergeCell ref="I13:K16"/>
    <mergeCell ref="A1:D1"/>
    <mergeCell ref="I3:K3"/>
    <mergeCell ref="F4:F11"/>
    <mergeCell ref="G4:G7"/>
    <mergeCell ref="I4:K4"/>
    <mergeCell ref="I5:K5"/>
    <mergeCell ref="I6:K7"/>
    <mergeCell ref="G8:G11"/>
    <mergeCell ref="I8:K8"/>
    <mergeCell ref="I9:K9"/>
    <mergeCell ref="I10:K10"/>
    <mergeCell ref="I11:K11"/>
  </mergeCells>
  <phoneticPr fontId="4" type="noConversion"/>
  <dataValidations count="2">
    <dataValidation type="list" allowBlank="1" showInputMessage="1" showErrorMessage="1" prompt="请选择" sqref="C19">
      <formula1>"HLH精密单轴,HLF超薄单轴,STW普通双轴"</formula1>
    </dataValidation>
    <dataValidation type="list" allowBlank="1" showInputMessage="1" showErrorMessage="1" prompt="请选择" sqref="C4">
      <formula1>"水平,竖直"</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sheetPr codeName="Sheet1"/>
  <dimension ref="A1:AE73"/>
  <sheetViews>
    <sheetView workbookViewId="0">
      <selection activeCell="E3" sqref="E3"/>
    </sheetView>
  </sheetViews>
  <sheetFormatPr defaultColWidth="15.625" defaultRowHeight="20.100000000000001" customHeight="1"/>
  <cols>
    <col min="1" max="1" width="14.875" style="262" customWidth="1"/>
    <col min="2" max="2" width="23.75" style="262" customWidth="1"/>
    <col min="3" max="3" width="13.875" style="263" customWidth="1"/>
    <col min="4" max="4" width="18" style="262" customWidth="1"/>
    <col min="5" max="5" width="7.125" style="262" customWidth="1"/>
    <col min="6" max="10" width="10.625" style="262" customWidth="1"/>
    <col min="11" max="11" width="9.5" style="262" customWidth="1"/>
    <col min="12" max="12" width="8.75" style="262" customWidth="1"/>
    <col min="13" max="13" width="10.75" style="262" customWidth="1"/>
    <col min="14" max="20" width="10.625" style="262" customWidth="1"/>
    <col min="21" max="27" width="8.625" style="262" customWidth="1"/>
    <col min="28" max="16384" width="15.625" style="262"/>
  </cols>
  <sheetData>
    <row r="1" spans="1:31" ht="21.95" customHeight="1">
      <c r="A1" s="1051" t="s">
        <v>2767</v>
      </c>
      <c r="B1" s="776"/>
      <c r="C1" s="776"/>
      <c r="D1" s="776"/>
      <c r="F1" s="390"/>
    </row>
    <row r="2" spans="1:31" ht="20.100000000000001" customHeight="1">
      <c r="A2" s="333" t="s">
        <v>1252</v>
      </c>
      <c r="F2" s="343" t="s">
        <v>1352</v>
      </c>
      <c r="G2" s="343"/>
      <c r="H2" s="343"/>
      <c r="K2" s="262" t="s">
        <v>1353</v>
      </c>
    </row>
    <row r="3" spans="1:31" ht="20.100000000000001" customHeight="1">
      <c r="A3" s="266" t="s">
        <v>753</v>
      </c>
      <c r="B3" s="266" t="s">
        <v>754</v>
      </c>
      <c r="C3" s="267" t="s">
        <v>755</v>
      </c>
      <c r="D3" s="266" t="s">
        <v>762</v>
      </c>
      <c r="F3" s="343"/>
      <c r="G3" s="343"/>
      <c r="H3" s="343"/>
      <c r="R3" s="344"/>
      <c r="S3" s="344"/>
      <c r="T3" s="344"/>
      <c r="V3" s="342"/>
      <c r="W3" s="342"/>
      <c r="X3" s="342"/>
      <c r="Y3" s="342"/>
      <c r="Z3" s="342"/>
      <c r="AA3" s="342"/>
      <c r="AB3" s="342"/>
      <c r="AC3" s="342"/>
      <c r="AD3" s="342"/>
    </row>
    <row r="4" spans="1:31" ht="20.100000000000001" customHeight="1">
      <c r="A4" s="1254" t="s">
        <v>1250</v>
      </c>
      <c r="B4" s="266" t="s">
        <v>1159</v>
      </c>
      <c r="C4" s="369" t="s">
        <v>1341</v>
      </c>
      <c r="D4" s="266"/>
      <c r="F4" s="343"/>
      <c r="G4" s="343"/>
      <c r="H4" s="343"/>
      <c r="T4" s="344"/>
      <c r="V4" s="342"/>
      <c r="W4" s="342"/>
      <c r="X4" s="342"/>
      <c r="Y4" s="342"/>
      <c r="Z4" s="342"/>
      <c r="AA4" s="342"/>
      <c r="AB4" s="342"/>
      <c r="AC4" s="342"/>
      <c r="AD4" s="342"/>
    </row>
    <row r="5" spans="1:31" ht="20.100000000000001" customHeight="1">
      <c r="A5" s="1255"/>
      <c r="B5" s="266" t="s">
        <v>1255</v>
      </c>
      <c r="C5" s="326">
        <v>2.5</v>
      </c>
      <c r="D5" s="266"/>
      <c r="F5" s="343"/>
      <c r="G5" s="343"/>
      <c r="H5" s="343"/>
      <c r="T5" s="344"/>
      <c r="W5" s="343"/>
      <c r="X5" s="343"/>
      <c r="Y5" s="343"/>
      <c r="Z5" s="343"/>
      <c r="AA5" s="343"/>
      <c r="AB5" s="343"/>
      <c r="AC5" s="343"/>
      <c r="AD5" s="343"/>
      <c r="AE5" s="343"/>
    </row>
    <row r="6" spans="1:31" ht="20.100000000000001" customHeight="1">
      <c r="A6" s="1255"/>
      <c r="B6" s="266" t="s">
        <v>1256</v>
      </c>
      <c r="C6" s="330">
        <v>90</v>
      </c>
      <c r="D6" s="345"/>
      <c r="F6" s="343"/>
      <c r="G6" s="343"/>
      <c r="H6" s="343"/>
      <c r="T6" s="344"/>
      <c r="W6" s="344"/>
      <c r="X6" s="344"/>
      <c r="Y6" s="344"/>
      <c r="Z6" s="344"/>
      <c r="AA6" s="344"/>
      <c r="AB6" s="344"/>
      <c r="AC6" s="344"/>
      <c r="AD6" s="344"/>
      <c r="AE6" s="344"/>
    </row>
    <row r="7" spans="1:31" ht="20.100000000000001" customHeight="1">
      <c r="A7" s="1255"/>
      <c r="B7" s="266" t="s">
        <v>1257</v>
      </c>
      <c r="C7" s="326">
        <v>0.5</v>
      </c>
      <c r="D7" s="345"/>
      <c r="G7" s="343"/>
      <c r="H7" s="343"/>
      <c r="T7" s="344"/>
      <c r="W7" s="344"/>
      <c r="X7" s="344"/>
      <c r="Y7" s="344"/>
      <c r="Z7" s="344"/>
    </row>
    <row r="8" spans="1:31" ht="20.100000000000001" customHeight="1">
      <c r="A8" s="1255"/>
      <c r="B8" s="266" t="s">
        <v>1169</v>
      </c>
      <c r="C8" s="326">
        <v>0.5</v>
      </c>
      <c r="D8" s="345" t="s">
        <v>1168</v>
      </c>
      <c r="F8" s="343"/>
      <c r="G8" s="343"/>
      <c r="H8" s="343"/>
      <c r="U8" s="344"/>
      <c r="V8" s="344"/>
      <c r="W8" s="344"/>
      <c r="X8" s="344"/>
      <c r="Y8" s="344"/>
      <c r="Z8" s="344"/>
      <c r="AA8" s="344"/>
      <c r="AB8" s="344"/>
      <c r="AC8" s="344"/>
    </row>
    <row r="9" spans="1:31" ht="20.100000000000001" customHeight="1">
      <c r="A9" s="1255"/>
      <c r="B9" s="266" t="s">
        <v>1265</v>
      </c>
      <c r="C9" s="326">
        <v>0.5</v>
      </c>
      <c r="D9" s="266" t="s">
        <v>1266</v>
      </c>
      <c r="F9" s="343"/>
      <c r="G9" s="343"/>
      <c r="H9" s="343"/>
      <c r="V9" s="344"/>
      <c r="W9" s="344"/>
      <c r="X9" s="344"/>
      <c r="Y9" s="344"/>
      <c r="Z9" s="344"/>
      <c r="AA9" s="344"/>
      <c r="AB9" s="344"/>
      <c r="AC9" s="344"/>
      <c r="AD9" s="344"/>
    </row>
    <row r="10" spans="1:31" ht="20.100000000000001" customHeight="1">
      <c r="A10" s="1255"/>
      <c r="B10" s="266" t="s">
        <v>1264</v>
      </c>
      <c r="C10" s="326">
        <v>0.1</v>
      </c>
      <c r="D10" s="266" t="s">
        <v>1316</v>
      </c>
      <c r="F10" s="343"/>
      <c r="G10" s="343"/>
      <c r="H10" s="343"/>
      <c r="U10" s="344"/>
      <c r="V10" s="344"/>
      <c r="W10" s="344"/>
    </row>
    <row r="11" spans="1:31" ht="20.100000000000001" customHeight="1">
      <c r="A11" s="1256"/>
      <c r="B11" s="345" t="s">
        <v>1317</v>
      </c>
      <c r="C11" s="369" t="s">
        <v>1318</v>
      </c>
      <c r="D11" s="266"/>
      <c r="F11" s="262" t="s">
        <v>1350</v>
      </c>
      <c r="K11" s="1260" t="s">
        <v>1370</v>
      </c>
      <c r="L11" s="1261"/>
      <c r="M11" s="1265" t="s">
        <v>1384</v>
      </c>
      <c r="T11" s="344"/>
      <c r="U11" s="344"/>
      <c r="V11" s="344"/>
    </row>
    <row r="12" spans="1:31" ht="20.100000000000001" customHeight="1">
      <c r="A12" s="1081" t="s">
        <v>1344</v>
      </c>
      <c r="B12" s="266" t="s">
        <v>1177</v>
      </c>
      <c r="C12" s="287">
        <f>IF(C4="水平",9.8*C5*C10,IF(C4="竖直",9.8*C5*(1+C10),"请选择布局方式"))</f>
        <v>26.950000000000003</v>
      </c>
      <c r="D12" s="266" t="s">
        <v>1207</v>
      </c>
      <c r="F12" s="404" t="s">
        <v>1304</v>
      </c>
      <c r="G12" s="405" t="s">
        <v>1270</v>
      </c>
      <c r="H12" s="1261" t="s">
        <v>1269</v>
      </c>
      <c r="I12" s="1267"/>
      <c r="J12" s="1268"/>
      <c r="K12" s="405" t="s">
        <v>1385</v>
      </c>
      <c r="L12" s="405" t="s">
        <v>1386</v>
      </c>
      <c r="M12" s="1266"/>
      <c r="N12" s="406"/>
      <c r="O12" s="344"/>
      <c r="P12" s="344"/>
      <c r="T12" s="344"/>
      <c r="U12" s="344"/>
      <c r="V12" s="344"/>
    </row>
    <row r="13" spans="1:31" ht="20.100000000000001" customHeight="1">
      <c r="A13" s="1082"/>
      <c r="B13" s="266" t="s">
        <v>1161</v>
      </c>
      <c r="C13" s="379">
        <f>C12/C9</f>
        <v>53.900000000000006</v>
      </c>
      <c r="D13" s="266" t="s">
        <v>1302</v>
      </c>
      <c r="F13" s="1269" t="s">
        <v>1383</v>
      </c>
      <c r="G13" s="407" t="s">
        <v>1283</v>
      </c>
      <c r="H13" s="1242" t="s">
        <v>1275</v>
      </c>
      <c r="I13" s="1242"/>
      <c r="J13" s="1242"/>
      <c r="K13" s="269">
        <v>0.01</v>
      </c>
      <c r="L13" s="269" t="s">
        <v>1112</v>
      </c>
      <c r="M13" s="269">
        <v>4</v>
      </c>
      <c r="AA13" s="343"/>
    </row>
    <row r="14" spans="1:31" ht="20.100000000000001" customHeight="1">
      <c r="A14" s="1082"/>
      <c r="B14" s="266" t="s">
        <v>1298</v>
      </c>
      <c r="C14" s="284">
        <f>SQRT(4/0.84*C13/PI()/C8)</f>
        <v>12.782764759928863</v>
      </c>
      <c r="D14" s="266" t="s">
        <v>1268</v>
      </c>
      <c r="F14" s="1270"/>
      <c r="G14" s="408" t="s">
        <v>1293</v>
      </c>
      <c r="H14" s="1262" t="s">
        <v>1279</v>
      </c>
      <c r="I14" s="1262"/>
      <c r="J14" s="1262"/>
      <c r="K14" s="267">
        <v>2.4E-2</v>
      </c>
      <c r="L14" s="267">
        <v>4.8000000000000001E-2</v>
      </c>
      <c r="M14" s="267">
        <v>8</v>
      </c>
      <c r="AA14" s="343"/>
    </row>
    <row r="15" spans="1:31" ht="20.100000000000001" customHeight="1">
      <c r="A15" s="1082"/>
      <c r="B15" s="266" t="s">
        <v>1301</v>
      </c>
      <c r="C15" s="284">
        <f>SQRT(0.5*4/0.64*C13/PI()/C8)</f>
        <v>10.355222977230596</v>
      </c>
      <c r="D15" s="266" t="s">
        <v>1299</v>
      </c>
      <c r="F15" s="1270"/>
      <c r="G15" s="407" t="s">
        <v>1294</v>
      </c>
      <c r="H15" s="1242" t="s">
        <v>1276</v>
      </c>
      <c r="I15" s="1242"/>
      <c r="J15" s="1242"/>
      <c r="K15" s="269">
        <v>0.05</v>
      </c>
      <c r="L15" s="269">
        <v>0.1</v>
      </c>
      <c r="M15" s="269">
        <v>15</v>
      </c>
      <c r="AA15" s="343"/>
    </row>
    <row r="16" spans="1:31" ht="20.100000000000001" customHeight="1">
      <c r="A16" s="1083"/>
      <c r="B16" s="266" t="s">
        <v>1300</v>
      </c>
      <c r="C16" s="284">
        <f>SQRT(0.5*16/3*C13/PI()/C8)</f>
        <v>9.5657452374762926</v>
      </c>
      <c r="D16" s="266" t="s">
        <v>1267</v>
      </c>
      <c r="F16" s="1270"/>
      <c r="G16" s="408" t="s">
        <v>1295</v>
      </c>
      <c r="H16" s="1262" t="s">
        <v>1277</v>
      </c>
      <c r="I16" s="1262"/>
      <c r="J16" s="1262"/>
      <c r="K16" s="267">
        <v>0.1</v>
      </c>
      <c r="L16" s="267">
        <v>0.2</v>
      </c>
      <c r="M16" s="267">
        <v>30</v>
      </c>
      <c r="AA16" s="343"/>
    </row>
    <row r="17" spans="1:29" ht="20.100000000000001" customHeight="1">
      <c r="A17" s="1081" t="s">
        <v>1368</v>
      </c>
      <c r="B17" s="266" t="s">
        <v>1326</v>
      </c>
      <c r="C17" s="287">
        <f>9.8*C5</f>
        <v>24.5</v>
      </c>
      <c r="D17" s="266" t="s">
        <v>1327</v>
      </c>
      <c r="F17" s="1270"/>
      <c r="G17" s="407" t="s">
        <v>1296</v>
      </c>
      <c r="H17" s="1242" t="s">
        <v>1278</v>
      </c>
      <c r="I17" s="1242"/>
      <c r="J17" s="1242"/>
      <c r="K17" s="269">
        <v>0.13</v>
      </c>
      <c r="L17" s="269">
        <v>0.26</v>
      </c>
      <c r="M17" s="409">
        <v>40</v>
      </c>
      <c r="AA17" s="343"/>
    </row>
    <row r="18" spans="1:29" ht="20.100000000000001" customHeight="1">
      <c r="A18" s="1082"/>
      <c r="B18" s="266" t="s">
        <v>1262</v>
      </c>
      <c r="C18" s="287">
        <f>C6/C7</f>
        <v>180</v>
      </c>
      <c r="D18" s="266"/>
      <c r="F18" s="1271"/>
      <c r="G18" s="407" t="s">
        <v>1297</v>
      </c>
      <c r="H18" s="1242"/>
      <c r="I18" s="1242"/>
      <c r="J18" s="1242"/>
      <c r="K18" s="269">
        <v>0.22</v>
      </c>
      <c r="L18" s="269">
        <v>0.44</v>
      </c>
      <c r="M18" s="409">
        <v>70</v>
      </c>
      <c r="O18" s="333"/>
      <c r="AA18" s="343"/>
    </row>
    <row r="19" spans="1:29" ht="20.100000000000001" customHeight="1">
      <c r="A19" s="1082"/>
      <c r="B19" s="266" t="s">
        <v>1261</v>
      </c>
      <c r="C19" s="410">
        <f>0.5*C5*(1.4/1000*C18)^2</f>
        <v>7.9380000000000006E-2</v>
      </c>
      <c r="D19" s="266" t="s">
        <v>1263</v>
      </c>
      <c r="F19" s="343"/>
      <c r="G19" s="343"/>
      <c r="H19" s="343"/>
      <c r="AC19" s="343"/>
    </row>
    <row r="20" spans="1:29" ht="20.100000000000001" customHeight="1">
      <c r="A20" s="1082"/>
      <c r="B20" s="266" t="s">
        <v>1307</v>
      </c>
      <c r="C20" s="401">
        <v>1</v>
      </c>
      <c r="D20" s="266" t="s">
        <v>1354</v>
      </c>
      <c r="F20" s="343" t="s">
        <v>1337</v>
      </c>
      <c r="G20" s="343"/>
      <c r="H20" s="343"/>
      <c r="I20" s="343"/>
      <c r="J20" s="343"/>
      <c r="K20" s="343"/>
      <c r="L20" s="343"/>
      <c r="M20" s="343"/>
      <c r="AC20" s="343"/>
    </row>
    <row r="21" spans="1:29" ht="20.100000000000001" customHeight="1">
      <c r="A21" s="1082"/>
      <c r="B21" s="266" t="s">
        <v>1315</v>
      </c>
      <c r="C21" s="287">
        <f>IF(OR(C18&lt;300,C18=300),1,IF(OR(C18&lt;500,C18=500),1.6-0.002*C18,"V超限,检查L和t"))</f>
        <v>1</v>
      </c>
      <c r="D21" s="266" t="s">
        <v>1382</v>
      </c>
      <c r="F21" s="343"/>
      <c r="G21" s="343"/>
      <c r="H21" s="343"/>
      <c r="I21" s="343"/>
      <c r="J21" s="343"/>
      <c r="K21" s="343"/>
      <c r="L21" s="343"/>
      <c r="M21" s="343"/>
      <c r="P21" s="343"/>
      <c r="Q21" s="343"/>
      <c r="AC21" s="343"/>
    </row>
    <row r="22" spans="1:29" ht="20.100000000000001" customHeight="1">
      <c r="A22" s="1082"/>
      <c r="B22" s="266" t="s">
        <v>1345</v>
      </c>
      <c r="C22" s="411" t="str">
        <f>"≥"&amp;ROUND(C19/C20,3)</f>
        <v>≥0.079</v>
      </c>
      <c r="D22" s="266"/>
      <c r="F22" s="343"/>
      <c r="G22" s="343"/>
      <c r="H22" s="343"/>
      <c r="I22" s="343"/>
      <c r="J22" s="343"/>
      <c r="K22" s="343"/>
      <c r="L22" s="343"/>
      <c r="M22" s="343"/>
      <c r="AC22" s="343"/>
    </row>
    <row r="23" spans="1:29" ht="20.100000000000001" customHeight="1">
      <c r="A23" s="1082"/>
      <c r="B23" s="266" t="s">
        <v>1346</v>
      </c>
      <c r="C23" s="412" t="str">
        <f>"≥"&amp;ROUND(C17/C20/C21,2)</f>
        <v>≥24.5</v>
      </c>
      <c r="D23" s="266"/>
      <c r="F23" s="343"/>
      <c r="G23" s="343"/>
      <c r="H23" s="343"/>
      <c r="I23" s="343"/>
      <c r="J23" s="343"/>
      <c r="K23" s="343"/>
      <c r="L23" s="343"/>
      <c r="M23" s="343"/>
      <c r="AC23" s="343"/>
    </row>
    <row r="24" spans="1:29" ht="20.100000000000001" customHeight="1">
      <c r="A24" s="1082"/>
      <c r="B24" s="345" t="s">
        <v>1347</v>
      </c>
      <c r="C24" s="402" t="s">
        <v>1305</v>
      </c>
      <c r="D24" s="1090" t="s">
        <v>1351</v>
      </c>
      <c r="F24" s="343"/>
      <c r="G24" s="343"/>
      <c r="H24" s="343"/>
      <c r="I24" s="343"/>
      <c r="J24" s="343"/>
      <c r="K24" s="343"/>
      <c r="L24" s="343"/>
      <c r="M24" s="343"/>
      <c r="O24" s="343"/>
      <c r="AC24" s="343"/>
    </row>
    <row r="25" spans="1:29" ht="20.100000000000001" customHeight="1">
      <c r="A25" s="1082"/>
      <c r="B25" s="345" t="s">
        <v>1348</v>
      </c>
      <c r="C25" s="403">
        <v>16</v>
      </c>
      <c r="D25" s="1082"/>
      <c r="F25" s="343"/>
      <c r="G25" s="343"/>
      <c r="H25" s="343"/>
      <c r="I25" s="343"/>
      <c r="J25" s="343"/>
      <c r="K25" s="343"/>
      <c r="L25" s="343"/>
      <c r="M25" s="343"/>
      <c r="AC25" s="343"/>
    </row>
    <row r="26" spans="1:29" ht="20.100000000000001" customHeight="1">
      <c r="A26" s="1082"/>
      <c r="B26" s="345" t="s">
        <v>1349</v>
      </c>
      <c r="C26" s="403">
        <v>100</v>
      </c>
      <c r="D26" s="1083"/>
      <c r="F26" s="343"/>
      <c r="G26" s="343"/>
      <c r="H26" s="343"/>
      <c r="I26" s="343"/>
      <c r="J26" s="343"/>
      <c r="K26" s="343"/>
      <c r="L26" s="343"/>
      <c r="M26" s="343"/>
      <c r="AB26" s="343"/>
    </row>
    <row r="27" spans="1:29" ht="20.100000000000001" customHeight="1">
      <c r="A27" s="1083"/>
      <c r="B27" s="345" t="s">
        <v>1306</v>
      </c>
      <c r="C27" s="1257" t="str">
        <f>LEFT(C24,3)&amp;" "&amp;C25&amp;"x"&amp;C26</f>
        <v>HLQ 16x100</v>
      </c>
      <c r="D27" s="1258"/>
      <c r="F27" s="343"/>
      <c r="G27" s="343"/>
      <c r="H27" s="343"/>
      <c r="I27" s="343"/>
      <c r="J27" s="343"/>
      <c r="K27" s="343"/>
      <c r="L27" s="343"/>
      <c r="M27" s="343"/>
      <c r="AB27" s="343"/>
    </row>
    <row r="28" spans="1:29" ht="20.100000000000001" customHeight="1">
      <c r="A28" s="1073" t="s">
        <v>1367</v>
      </c>
      <c r="B28" s="266" t="s">
        <v>1258</v>
      </c>
      <c r="C28" s="326">
        <v>40</v>
      </c>
      <c r="D28" s="1264" t="s">
        <v>1342</v>
      </c>
      <c r="F28" s="333"/>
      <c r="G28" s="343"/>
      <c r="H28" s="343"/>
      <c r="I28" s="343"/>
      <c r="J28" s="343"/>
      <c r="K28" s="343"/>
      <c r="L28" s="343"/>
      <c r="M28" s="343"/>
      <c r="AB28" s="343"/>
    </row>
    <row r="29" spans="1:29" ht="20.100000000000001" customHeight="1">
      <c r="A29" s="1073"/>
      <c r="B29" s="266" t="s">
        <v>1259</v>
      </c>
      <c r="C29" s="326">
        <v>18</v>
      </c>
      <c r="D29" s="757"/>
      <c r="F29" s="343"/>
      <c r="G29" s="343"/>
      <c r="H29" s="343"/>
      <c r="I29" s="343"/>
      <c r="J29" s="343"/>
      <c r="K29" s="343"/>
      <c r="L29" s="343"/>
      <c r="M29" s="343"/>
      <c r="AB29" s="343"/>
    </row>
    <row r="30" spans="1:29" ht="20.100000000000001" customHeight="1">
      <c r="A30" s="1073"/>
      <c r="B30" s="266" t="s">
        <v>1260</v>
      </c>
      <c r="C30" s="326">
        <v>0</v>
      </c>
      <c r="D30" s="768"/>
      <c r="F30" s="343"/>
      <c r="G30" s="343"/>
      <c r="H30" s="343"/>
      <c r="I30" s="343"/>
      <c r="J30" s="343"/>
      <c r="K30" s="343"/>
      <c r="L30" s="343"/>
      <c r="M30" s="343"/>
      <c r="AB30" s="343"/>
    </row>
    <row r="31" spans="1:29" ht="20.100000000000001" customHeight="1">
      <c r="A31" s="1073"/>
      <c r="B31" s="266" t="s">
        <v>1329</v>
      </c>
      <c r="C31" s="326">
        <v>150</v>
      </c>
      <c r="D31" s="1259" t="s">
        <v>1319</v>
      </c>
      <c r="F31" s="343"/>
      <c r="G31" s="343"/>
      <c r="H31" s="343"/>
      <c r="I31" s="343"/>
      <c r="J31" s="343"/>
      <c r="K31" s="343"/>
      <c r="L31" s="343"/>
      <c r="M31" s="343"/>
      <c r="AB31" s="343"/>
    </row>
    <row r="32" spans="1:29" ht="20.100000000000001" customHeight="1">
      <c r="A32" s="1073"/>
      <c r="B32" s="266" t="s">
        <v>1330</v>
      </c>
      <c r="C32" s="326">
        <v>12</v>
      </c>
      <c r="D32" s="1259"/>
      <c r="F32" s="343"/>
      <c r="G32" s="343"/>
      <c r="H32" s="343"/>
      <c r="I32" s="343"/>
      <c r="J32" s="343"/>
      <c r="K32" s="343"/>
      <c r="L32" s="343"/>
      <c r="M32" s="343"/>
      <c r="AB32" s="343"/>
    </row>
    <row r="33" spans="1:29" ht="20.100000000000001" customHeight="1">
      <c r="A33" s="1073"/>
      <c r="B33" s="266" t="s">
        <v>1328</v>
      </c>
      <c r="C33" s="267">
        <f>IF(C11="调节螺丝",1600*(C18/1000)^2,400*(C18/1000)^2)</f>
        <v>51.839999999999996</v>
      </c>
      <c r="D33" s="413"/>
      <c r="F33" s="343"/>
      <c r="G33" s="343"/>
      <c r="H33" s="343"/>
      <c r="I33" s="343"/>
      <c r="J33" s="343"/>
      <c r="K33" s="343"/>
      <c r="L33" s="343"/>
      <c r="M33" s="343"/>
      <c r="AB33" s="343"/>
    </row>
    <row r="34" spans="1:29" ht="20.100000000000001" customHeight="1">
      <c r="A34" s="1073"/>
      <c r="B34" s="266" t="s">
        <v>1323</v>
      </c>
      <c r="C34" s="267">
        <f>IF(C4="水平",C17*(C28+C31)/1000+C17*C33*(C29+C32)/1000/9.8,C17*(C29+C32)/1000+C17*C33*(C29+C32)/1000/9.8)</f>
        <v>4.6229999999999993</v>
      </c>
      <c r="D34" s="413"/>
      <c r="F34" s="343"/>
      <c r="G34" s="343"/>
      <c r="H34" s="343"/>
      <c r="I34" s="343"/>
      <c r="J34" s="343"/>
      <c r="K34" s="343"/>
      <c r="L34" s="343"/>
      <c r="M34" s="343"/>
      <c r="AC34" s="343"/>
    </row>
    <row r="35" spans="1:29" ht="20.100000000000001" customHeight="1">
      <c r="A35" s="1073"/>
      <c r="B35" s="266" t="s">
        <v>1324</v>
      </c>
      <c r="C35" s="267">
        <f>IF(C4="水平",C17*C33*C30/9800,0)</f>
        <v>0</v>
      </c>
      <c r="D35" s="413"/>
      <c r="F35" s="343"/>
      <c r="G35" s="343"/>
      <c r="H35" s="343"/>
      <c r="I35" s="343"/>
      <c r="J35" s="343"/>
      <c r="K35" s="343"/>
      <c r="L35" s="343"/>
      <c r="M35" s="343"/>
      <c r="AC35" s="343"/>
    </row>
    <row r="36" spans="1:29" ht="20.100000000000001" customHeight="1">
      <c r="A36" s="1073"/>
      <c r="B36" s="266" t="s">
        <v>1325</v>
      </c>
      <c r="C36" s="267">
        <f>IF(C4="水平",C17*C33*C30/9800,C17*C33*C30/9800+C17*C30/1000)</f>
        <v>0</v>
      </c>
      <c r="D36" s="413"/>
      <c r="F36" s="343"/>
      <c r="G36" s="343"/>
      <c r="H36" s="343"/>
      <c r="I36" s="343"/>
      <c r="J36" s="343"/>
      <c r="K36" s="343"/>
      <c r="L36" s="343"/>
      <c r="M36" s="343"/>
      <c r="AC36" s="343"/>
    </row>
    <row r="37" spans="1:29" ht="20.100000000000001" customHeight="1">
      <c r="A37" s="1073"/>
      <c r="B37" s="266" t="s">
        <v>1320</v>
      </c>
      <c r="C37" s="267">
        <f>IF(C4="水平",C17*(C28+C31)/1000,C17*(C29+C32)/1000)</f>
        <v>0.73499999999999999</v>
      </c>
      <c r="D37" s="413"/>
      <c r="F37" s="343"/>
      <c r="G37" s="343"/>
      <c r="H37" s="343"/>
      <c r="I37" s="343"/>
      <c r="J37" s="343"/>
      <c r="K37" s="343"/>
      <c r="L37" s="343"/>
      <c r="M37" s="343"/>
      <c r="AC37" s="343"/>
    </row>
    <row r="38" spans="1:29" ht="20.100000000000001" customHeight="1">
      <c r="A38" s="1073"/>
      <c r="B38" s="266" t="s">
        <v>1321</v>
      </c>
      <c r="C38" s="267">
        <f>IF(C4="水平",C17*C30/1000,0)</f>
        <v>0</v>
      </c>
      <c r="D38" s="413"/>
      <c r="F38" s="343"/>
      <c r="G38" s="343"/>
      <c r="H38" s="343"/>
      <c r="I38" s="343"/>
      <c r="J38" s="343"/>
      <c r="K38" s="343"/>
      <c r="L38" s="343"/>
      <c r="M38" s="343"/>
      <c r="AC38" s="343"/>
    </row>
    <row r="39" spans="1:29" ht="20.100000000000001" customHeight="1">
      <c r="A39" s="1073"/>
      <c r="B39" s="266" t="s">
        <v>1322</v>
      </c>
      <c r="C39" s="267">
        <f>IF(C4="水平",0,C17*C30/1000)</f>
        <v>0</v>
      </c>
      <c r="D39" s="413"/>
      <c r="F39" s="343"/>
      <c r="G39" s="343"/>
      <c r="H39" s="343"/>
      <c r="I39" s="343"/>
      <c r="J39" s="343"/>
      <c r="K39" s="343"/>
      <c r="L39" s="343"/>
      <c r="M39" s="343"/>
      <c r="AC39" s="343"/>
    </row>
    <row r="40" spans="1:29" ht="20.100000000000001" customHeight="1">
      <c r="A40" s="1073"/>
      <c r="B40" s="266" t="s">
        <v>1331</v>
      </c>
      <c r="C40" s="417">
        <v>74</v>
      </c>
      <c r="D40" s="989" t="s">
        <v>138</v>
      </c>
      <c r="F40" s="343"/>
      <c r="G40" s="343"/>
      <c r="H40" s="343"/>
      <c r="I40" s="343"/>
      <c r="J40" s="343"/>
      <c r="K40" s="343"/>
      <c r="L40" s="343"/>
      <c r="M40" s="343"/>
      <c r="AC40" s="343"/>
    </row>
    <row r="41" spans="1:29" ht="20.100000000000001" customHeight="1">
      <c r="A41" s="1073"/>
      <c r="B41" s="266" t="s">
        <v>1332</v>
      </c>
      <c r="C41" s="417">
        <v>74</v>
      </c>
      <c r="D41" s="1259"/>
      <c r="F41" s="343"/>
      <c r="G41" s="343"/>
      <c r="H41" s="343"/>
      <c r="I41" s="343"/>
      <c r="J41" s="343"/>
      <c r="K41" s="343"/>
      <c r="L41" s="343"/>
      <c r="M41" s="343"/>
      <c r="AC41" s="343"/>
    </row>
    <row r="42" spans="1:29" ht="20.100000000000001" customHeight="1">
      <c r="A42" s="1073"/>
      <c r="B42" s="266" t="s">
        <v>1333</v>
      </c>
      <c r="C42" s="417">
        <v>103</v>
      </c>
      <c r="D42" s="1259"/>
      <c r="F42" s="343"/>
      <c r="G42" s="343"/>
      <c r="H42" s="343"/>
      <c r="I42" s="343"/>
      <c r="J42" s="343"/>
      <c r="K42" s="343"/>
      <c r="L42" s="343"/>
      <c r="M42" s="343"/>
      <c r="AC42" s="343"/>
    </row>
    <row r="43" spans="1:29" ht="20.100000000000001" customHeight="1">
      <c r="A43" s="1073"/>
      <c r="B43" s="266" t="s">
        <v>1334</v>
      </c>
      <c r="C43" s="417">
        <v>29</v>
      </c>
      <c r="D43" s="1259"/>
      <c r="F43" s="343"/>
      <c r="G43" s="343"/>
      <c r="H43" s="343"/>
      <c r="I43" s="343"/>
      <c r="J43" s="343"/>
      <c r="K43" s="343"/>
      <c r="L43" s="343"/>
      <c r="M43" s="343"/>
      <c r="AC43" s="343"/>
    </row>
    <row r="44" spans="1:29" ht="20.100000000000001" customHeight="1">
      <c r="A44" s="1073"/>
      <c r="B44" s="266" t="s">
        <v>1335</v>
      </c>
      <c r="C44" s="417">
        <v>29</v>
      </c>
      <c r="D44" s="1259"/>
      <c r="F44" s="343"/>
      <c r="G44" s="343"/>
      <c r="H44" s="343"/>
      <c r="I44" s="343"/>
      <c r="J44" s="343"/>
      <c r="K44" s="343"/>
      <c r="L44" s="343"/>
      <c r="M44" s="343"/>
      <c r="P44" s="368"/>
      <c r="AC44" s="343"/>
    </row>
    <row r="45" spans="1:29" ht="20.100000000000001" customHeight="1">
      <c r="A45" s="1073"/>
      <c r="B45" s="266" t="s">
        <v>1336</v>
      </c>
      <c r="C45" s="417">
        <v>38</v>
      </c>
      <c r="D45" s="1259"/>
      <c r="F45" s="343"/>
      <c r="G45" s="343"/>
      <c r="H45" s="343"/>
      <c r="I45" s="343"/>
      <c r="J45" s="343"/>
      <c r="K45" s="343"/>
      <c r="L45" s="343"/>
      <c r="M45" s="343"/>
      <c r="P45" s="368"/>
      <c r="AC45" s="343"/>
    </row>
    <row r="46" spans="1:29" ht="20.100000000000001" customHeight="1">
      <c r="A46" s="1073"/>
      <c r="B46" s="266" t="s">
        <v>1339</v>
      </c>
      <c r="C46" s="287">
        <f>C34/C40+C35/C41+C36/C42</f>
        <v>6.2472972972972961E-2</v>
      </c>
      <c r="D46" s="413"/>
      <c r="F46" s="343"/>
      <c r="G46" s="343"/>
      <c r="H46" s="343"/>
      <c r="I46" s="343"/>
      <c r="J46" s="343"/>
      <c r="K46" s="343"/>
      <c r="L46" s="343"/>
      <c r="M46" s="343"/>
      <c r="P46" s="368"/>
      <c r="AC46" s="343"/>
    </row>
    <row r="47" spans="1:29" ht="20.100000000000001" customHeight="1">
      <c r="A47" s="1073"/>
      <c r="B47" s="266" t="s">
        <v>1338</v>
      </c>
      <c r="C47" s="287">
        <f>C37/C43+C38/C44+C39/C45</f>
        <v>2.5344827586206896E-2</v>
      </c>
      <c r="D47" s="413"/>
      <c r="F47" s="343"/>
      <c r="G47" s="343"/>
      <c r="H47" s="343"/>
      <c r="K47" s="368"/>
      <c r="X47" s="343"/>
    </row>
    <row r="48" spans="1:29" ht="20.100000000000001" customHeight="1">
      <c r="A48" s="1073"/>
      <c r="B48" s="345" t="s">
        <v>1130</v>
      </c>
      <c r="C48" s="414" t="str">
        <f>IF(OR(C46&gt;1,C47&gt;1),"M≥1或M0≥1","M≤1且M0≤1")</f>
        <v>M≤1且M0≤1</v>
      </c>
      <c r="D48" s="415" t="str">
        <f>IF(OR(C46&gt;1,C47&gt;1),"不合格，重选气缸","校验合格")</f>
        <v>校验合格</v>
      </c>
      <c r="F48" s="343"/>
      <c r="G48" s="343"/>
      <c r="H48" s="343"/>
      <c r="K48" s="368"/>
      <c r="X48" s="343"/>
    </row>
    <row r="49" spans="1:29" ht="20.100000000000001" customHeight="1">
      <c r="A49" s="416" t="s">
        <v>1340</v>
      </c>
      <c r="B49" s="1263" t="str">
        <f>C27</f>
        <v>HLQ 16x100</v>
      </c>
      <c r="C49" s="1263"/>
      <c r="D49" s="1263"/>
      <c r="F49" s="343"/>
      <c r="G49" s="343"/>
      <c r="H49" s="343"/>
      <c r="K49" s="368"/>
      <c r="X49" s="343"/>
    </row>
    <row r="50" spans="1:29" ht="20.100000000000001" customHeight="1">
      <c r="F50" s="343"/>
      <c r="G50" s="343"/>
      <c r="H50" s="343"/>
      <c r="I50" s="343"/>
      <c r="J50" s="343"/>
      <c r="K50" s="343"/>
      <c r="L50" s="343"/>
      <c r="M50" s="343"/>
      <c r="AC50" s="343"/>
    </row>
    <row r="51" spans="1:29" ht="20.100000000000001" customHeight="1">
      <c r="A51" s="1232" t="s">
        <v>1355</v>
      </c>
      <c r="B51" s="1233"/>
      <c r="C51" s="1233"/>
      <c r="D51" s="1234"/>
      <c r="F51" s="343"/>
      <c r="G51" s="343"/>
      <c r="H51" s="343"/>
      <c r="I51" s="343"/>
      <c r="J51" s="343"/>
      <c r="K51" s="343"/>
      <c r="L51" s="343"/>
      <c r="M51" s="343"/>
      <c r="AC51" s="343"/>
    </row>
    <row r="52" spans="1:29" ht="20.100000000000001" customHeight="1">
      <c r="A52" s="1235"/>
      <c r="B52" s="1236"/>
      <c r="C52" s="1236"/>
      <c r="D52" s="1237"/>
      <c r="F52" s="343"/>
      <c r="G52" s="343"/>
      <c r="H52" s="343"/>
      <c r="I52" s="343"/>
      <c r="J52" s="343"/>
      <c r="K52" s="343"/>
      <c r="L52" s="343"/>
      <c r="M52" s="343"/>
      <c r="AC52" s="343"/>
    </row>
    <row r="53" spans="1:29" ht="20.100000000000001" customHeight="1">
      <c r="A53" s="1235"/>
      <c r="B53" s="1236"/>
      <c r="C53" s="1236"/>
      <c r="D53" s="1237"/>
      <c r="F53" s="343"/>
      <c r="G53" s="343"/>
      <c r="H53" s="343"/>
      <c r="I53" s="343"/>
      <c r="J53" s="343"/>
      <c r="K53" s="343"/>
      <c r="L53" s="343"/>
      <c r="M53" s="343"/>
      <c r="AC53" s="343"/>
    </row>
    <row r="54" spans="1:29" ht="20.100000000000001" customHeight="1">
      <c r="A54" s="1227" t="s">
        <v>1379</v>
      </c>
      <c r="B54" s="1227"/>
      <c r="C54" s="1227"/>
      <c r="D54" s="1227"/>
      <c r="F54" s="343"/>
      <c r="G54" s="343"/>
      <c r="H54" s="343"/>
      <c r="I54" s="343"/>
      <c r="J54" s="343"/>
      <c r="K54" s="343"/>
      <c r="L54" s="343"/>
      <c r="M54" s="343"/>
      <c r="AC54" s="343"/>
    </row>
    <row r="55" spans="1:29" ht="20.100000000000001" customHeight="1">
      <c r="A55" s="1227"/>
      <c r="B55" s="1227"/>
      <c r="C55" s="1227"/>
      <c r="D55" s="1227"/>
      <c r="F55" s="343"/>
      <c r="G55" s="343"/>
      <c r="H55" s="343"/>
      <c r="I55" s="343"/>
      <c r="J55" s="343"/>
      <c r="K55" s="343"/>
      <c r="L55" s="343"/>
      <c r="M55" s="343"/>
      <c r="AC55" s="343"/>
    </row>
    <row r="56" spans="1:29" ht="20.100000000000001" customHeight="1">
      <c r="A56" s="1227"/>
      <c r="B56" s="1227"/>
      <c r="C56" s="1227"/>
      <c r="D56" s="1227"/>
      <c r="F56" s="343"/>
      <c r="G56" s="343"/>
      <c r="H56" s="343"/>
      <c r="I56" s="343"/>
      <c r="J56" s="343"/>
      <c r="K56" s="343"/>
      <c r="L56" s="343"/>
      <c r="M56" s="343"/>
      <c r="AC56" s="343"/>
    </row>
    <row r="57" spans="1:29" ht="20.100000000000001" customHeight="1">
      <c r="A57" s="1227"/>
      <c r="B57" s="1227"/>
      <c r="C57" s="1227"/>
      <c r="D57" s="1227"/>
      <c r="F57" s="343"/>
      <c r="G57" s="343"/>
      <c r="H57" s="343"/>
      <c r="I57" s="343"/>
      <c r="J57" s="343"/>
      <c r="K57" s="343"/>
      <c r="L57" s="343"/>
      <c r="M57" s="343"/>
      <c r="AC57" s="343"/>
    </row>
    <row r="58" spans="1:29" ht="20.100000000000001" customHeight="1">
      <c r="A58" s="333" t="s">
        <v>1360</v>
      </c>
      <c r="B58" s="389"/>
      <c r="C58" s="389"/>
      <c r="D58" s="389"/>
      <c r="F58" s="343"/>
      <c r="G58" s="343"/>
      <c r="H58" s="343"/>
      <c r="I58" s="343"/>
      <c r="J58" s="343"/>
      <c r="K58" s="343"/>
      <c r="L58" s="343"/>
      <c r="M58" s="343"/>
      <c r="AC58" s="343"/>
    </row>
    <row r="59" spans="1:29" ht="20.100000000000001" customHeight="1">
      <c r="F59" s="343"/>
      <c r="G59" s="343"/>
      <c r="H59" s="343"/>
      <c r="I59" s="343"/>
      <c r="J59" s="343"/>
      <c r="K59" s="343"/>
      <c r="L59" s="343"/>
      <c r="M59" s="343"/>
      <c r="AC59" s="343"/>
    </row>
    <row r="60" spans="1:29" ht="20.100000000000001" customHeight="1">
      <c r="F60" s="343"/>
      <c r="G60" s="343"/>
      <c r="H60" s="343"/>
      <c r="I60" s="343"/>
      <c r="J60" s="343"/>
      <c r="K60" s="343"/>
      <c r="L60" s="343"/>
      <c r="M60" s="343"/>
      <c r="AC60" s="343"/>
    </row>
    <row r="61" spans="1:29" ht="20.100000000000001" customHeight="1">
      <c r="F61" s="343"/>
      <c r="G61" s="343"/>
      <c r="H61" s="343"/>
      <c r="I61" s="343"/>
      <c r="J61" s="343"/>
      <c r="K61" s="343"/>
      <c r="L61" s="343"/>
      <c r="M61" s="343"/>
      <c r="AC61" s="343"/>
    </row>
    <row r="62" spans="1:29" ht="20.100000000000001" customHeight="1">
      <c r="F62" s="343"/>
      <c r="G62" s="343"/>
      <c r="H62" s="343"/>
      <c r="I62" s="343"/>
      <c r="J62" s="343"/>
      <c r="K62" s="343"/>
      <c r="L62" s="343"/>
      <c r="M62" s="343"/>
      <c r="AC62" s="343"/>
    </row>
    <row r="63" spans="1:29" ht="20.100000000000001" customHeight="1">
      <c r="F63" s="343"/>
      <c r="G63" s="343"/>
      <c r="H63" s="343"/>
      <c r="I63" s="343"/>
      <c r="J63" s="343"/>
      <c r="K63" s="343"/>
      <c r="L63" s="343"/>
      <c r="M63" s="343"/>
      <c r="AC63" s="343"/>
    </row>
    <row r="64" spans="1:29" ht="20.100000000000001" customHeight="1">
      <c r="F64" s="343"/>
      <c r="G64" s="343"/>
      <c r="H64" s="343"/>
      <c r="I64" s="343"/>
      <c r="J64" s="343"/>
      <c r="K64" s="343"/>
      <c r="L64" s="343"/>
      <c r="M64" s="343"/>
      <c r="AC64" s="343"/>
    </row>
    <row r="65" spans="1:29" ht="20.100000000000001" customHeight="1">
      <c r="A65" s="333"/>
      <c r="F65" s="343"/>
      <c r="G65" s="343"/>
      <c r="H65" s="343"/>
      <c r="I65" s="343"/>
      <c r="J65" s="343"/>
      <c r="K65" s="343"/>
      <c r="L65" s="343"/>
      <c r="M65" s="343"/>
      <c r="AC65" s="343"/>
    </row>
    <row r="66" spans="1:29" ht="20.100000000000001" customHeight="1">
      <c r="F66" s="343"/>
      <c r="G66" s="343"/>
      <c r="H66" s="343"/>
      <c r="I66" s="343"/>
      <c r="J66" s="343"/>
      <c r="K66" s="343"/>
      <c r="L66" s="343"/>
      <c r="M66" s="343"/>
      <c r="AC66" s="343"/>
    </row>
    <row r="67" spans="1:29" ht="20.100000000000001" customHeight="1">
      <c r="F67" s="343"/>
      <c r="G67" s="343"/>
      <c r="H67" s="343"/>
      <c r="I67" s="343"/>
      <c r="J67" s="343"/>
      <c r="K67" s="343"/>
      <c r="L67" s="343"/>
      <c r="M67" s="343"/>
      <c r="AC67" s="343"/>
    </row>
    <row r="68" spans="1:29" ht="20.100000000000001" customHeight="1">
      <c r="F68" s="343"/>
      <c r="G68" s="343"/>
      <c r="H68" s="343"/>
      <c r="I68" s="343"/>
      <c r="J68" s="343"/>
      <c r="K68" s="343"/>
      <c r="L68" s="343"/>
      <c r="M68" s="343"/>
    </row>
    <row r="69" spans="1:29" ht="20.100000000000001" customHeight="1">
      <c r="F69" s="343"/>
      <c r="G69" s="343"/>
      <c r="H69" s="343"/>
      <c r="I69" s="343"/>
      <c r="J69" s="343"/>
      <c r="K69" s="343"/>
      <c r="L69" s="343"/>
      <c r="M69" s="343"/>
    </row>
    <row r="70" spans="1:29" ht="20.100000000000001" customHeight="1">
      <c r="F70" s="343"/>
      <c r="G70" s="343"/>
      <c r="H70" s="343"/>
      <c r="I70" s="343"/>
      <c r="J70" s="343"/>
      <c r="K70" s="343"/>
    </row>
    <row r="71" spans="1:29" ht="20.100000000000001" customHeight="1">
      <c r="F71" s="343"/>
      <c r="G71" s="343"/>
      <c r="H71" s="343"/>
      <c r="I71" s="343"/>
      <c r="J71" s="343"/>
      <c r="K71" s="343"/>
    </row>
    <row r="72" spans="1:29" ht="20.100000000000001" customHeight="1">
      <c r="F72" s="343"/>
      <c r="G72" s="343"/>
      <c r="H72" s="343"/>
      <c r="I72" s="343"/>
      <c r="J72" s="343"/>
      <c r="K72" s="343"/>
    </row>
    <row r="73" spans="1:29" ht="20.100000000000001" customHeight="1">
      <c r="K73" s="343"/>
    </row>
  </sheetData>
  <sheetProtection password="828E" sheet="1" objects="1" scenarios="1"/>
  <mergeCells count="22">
    <mergeCell ref="M11:M12"/>
    <mergeCell ref="H16:J16"/>
    <mergeCell ref="H17:J18"/>
    <mergeCell ref="H12:J12"/>
    <mergeCell ref="F13:F18"/>
    <mergeCell ref="A54:D57"/>
    <mergeCell ref="D24:D26"/>
    <mergeCell ref="C27:D27"/>
    <mergeCell ref="B49:D49"/>
    <mergeCell ref="D28:D30"/>
    <mergeCell ref="A17:A27"/>
    <mergeCell ref="A51:D53"/>
    <mergeCell ref="A1:D1"/>
    <mergeCell ref="D40:D45"/>
    <mergeCell ref="A4:A11"/>
    <mergeCell ref="A12:A16"/>
    <mergeCell ref="K11:L11"/>
    <mergeCell ref="D31:D32"/>
    <mergeCell ref="A28:A48"/>
    <mergeCell ref="H13:J13"/>
    <mergeCell ref="H14:J14"/>
    <mergeCell ref="H15:J15"/>
  </mergeCells>
  <phoneticPr fontId="4" type="noConversion"/>
  <dataValidations count="4">
    <dataValidation type="list" allowBlank="1" showInputMessage="1" showErrorMessage="1" prompt="请选择" sqref="C24">
      <formula1>"HLQ滚珠双轴,HLS滚柱双轴"</formula1>
    </dataValidation>
    <dataValidation type="list" allowBlank="1" showInputMessage="1" showErrorMessage="1" prompt="请选择" sqref="C20">
      <formula1>"1,0.6"</formula1>
    </dataValidation>
    <dataValidation type="list" allowBlank="1" showInputMessage="1" showErrorMessage="1" prompt="请选择" sqref="C11">
      <formula1>"调节螺丝,液压缓冲"</formula1>
    </dataValidation>
    <dataValidation type="list" allowBlank="1" showInputMessage="1" showErrorMessage="1" prompt="请选择" sqref="C4">
      <formula1>"水平,竖直"</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sheetPr codeName="Sheet18"/>
  <dimension ref="A1:AE113"/>
  <sheetViews>
    <sheetView workbookViewId="0">
      <selection activeCell="E17" sqref="E17"/>
    </sheetView>
  </sheetViews>
  <sheetFormatPr defaultColWidth="15.625" defaultRowHeight="20.100000000000001" customHeight="1"/>
  <cols>
    <col min="1" max="1" width="14.875" style="262" customWidth="1"/>
    <col min="2" max="2" width="23.75" style="262" customWidth="1"/>
    <col min="3" max="3" width="17.5" style="263" customWidth="1"/>
    <col min="4" max="4" width="14.875" style="262" customWidth="1"/>
    <col min="5" max="5" width="7.125" style="262" customWidth="1"/>
    <col min="6" max="10" width="10.625" style="262" customWidth="1"/>
    <col min="11" max="11" width="8.875" style="262" customWidth="1"/>
    <col min="12" max="12" width="7.625" style="262" customWidth="1"/>
    <col min="13" max="13" width="7.125" style="262" customWidth="1"/>
    <col min="14" max="14" width="4.375" style="262" customWidth="1"/>
    <col min="15" max="20" width="10.625" style="262" customWidth="1"/>
    <col min="21" max="27" width="8.625" style="262" customWidth="1"/>
    <col min="28" max="16384" width="15.625" style="262"/>
  </cols>
  <sheetData>
    <row r="1" spans="1:31" ht="21.95" customHeight="1">
      <c r="A1" s="1051" t="s">
        <v>2769</v>
      </c>
      <c r="B1" s="776"/>
      <c r="C1" s="776"/>
      <c r="D1" s="776"/>
      <c r="F1" s="399" t="s">
        <v>1387</v>
      </c>
      <c r="G1" s="343"/>
      <c r="H1" s="343"/>
    </row>
    <row r="2" spans="1:31" ht="20.100000000000001" customHeight="1">
      <c r="A2" s="333" t="s">
        <v>1252</v>
      </c>
      <c r="F2" s="343"/>
      <c r="G2" s="343"/>
      <c r="H2" s="343"/>
      <c r="R2" s="344"/>
      <c r="S2" s="344"/>
      <c r="T2" s="344"/>
      <c r="V2" s="342"/>
      <c r="W2" s="342"/>
      <c r="X2" s="342"/>
      <c r="Y2" s="342"/>
      <c r="Z2" s="342"/>
      <c r="AA2" s="342"/>
      <c r="AB2" s="342"/>
      <c r="AC2" s="342"/>
      <c r="AD2" s="342"/>
    </row>
    <row r="3" spans="1:31" ht="20.100000000000001" customHeight="1">
      <c r="A3" s="266" t="s">
        <v>753</v>
      </c>
      <c r="B3" s="266" t="s">
        <v>754</v>
      </c>
      <c r="C3" s="267" t="s">
        <v>755</v>
      </c>
      <c r="D3" s="266" t="s">
        <v>762</v>
      </c>
      <c r="F3" s="343"/>
      <c r="G3" s="343"/>
      <c r="H3" s="343"/>
      <c r="T3" s="344"/>
      <c r="V3" s="342"/>
      <c r="W3" s="342"/>
      <c r="X3" s="342"/>
      <c r="Y3" s="342"/>
      <c r="Z3" s="342"/>
      <c r="AA3" s="342"/>
      <c r="AB3" s="342"/>
      <c r="AC3" s="342"/>
      <c r="AD3" s="342"/>
    </row>
    <row r="4" spans="1:31" ht="20.100000000000001" customHeight="1">
      <c r="A4" s="1254" t="s">
        <v>756</v>
      </c>
      <c r="B4" s="266" t="s">
        <v>1255</v>
      </c>
      <c r="C4" s="326">
        <v>2.5</v>
      </c>
      <c r="D4" s="266"/>
      <c r="F4" s="343"/>
      <c r="G4" s="343"/>
      <c r="H4" s="343"/>
      <c r="T4" s="344"/>
      <c r="W4" s="343"/>
      <c r="X4" s="343"/>
      <c r="Y4" s="343"/>
      <c r="Z4" s="343"/>
      <c r="AA4" s="343"/>
      <c r="AB4" s="343"/>
      <c r="AC4" s="343"/>
      <c r="AD4" s="343"/>
    </row>
    <row r="5" spans="1:31" ht="20.100000000000001" customHeight="1">
      <c r="A5" s="1255"/>
      <c r="B5" s="266" t="s">
        <v>1371</v>
      </c>
      <c r="C5" s="330">
        <v>40</v>
      </c>
      <c r="D5" s="345"/>
      <c r="F5" s="343"/>
      <c r="G5" s="343"/>
      <c r="H5" s="343"/>
      <c r="T5" s="344"/>
      <c r="W5" s="344"/>
      <c r="X5" s="344"/>
      <c r="Y5" s="344"/>
      <c r="Z5" s="344"/>
      <c r="AA5" s="344"/>
      <c r="AB5" s="344"/>
      <c r="AC5" s="344"/>
      <c r="AD5" s="344"/>
      <c r="AE5" s="343"/>
    </row>
    <row r="6" spans="1:31" ht="20.100000000000001" customHeight="1">
      <c r="A6" s="1255"/>
      <c r="B6" s="266" t="s">
        <v>1169</v>
      </c>
      <c r="C6" s="330">
        <v>0.5</v>
      </c>
      <c r="D6" s="345"/>
      <c r="G6" s="343"/>
      <c r="H6" s="343"/>
      <c r="T6" s="344"/>
      <c r="W6" s="344"/>
      <c r="X6" s="344"/>
      <c r="Y6" s="344"/>
      <c r="Z6" s="344"/>
      <c r="AE6" s="344"/>
    </row>
    <row r="7" spans="1:31" ht="20.100000000000001" customHeight="1">
      <c r="A7" s="1255"/>
      <c r="B7" s="266" t="s">
        <v>1373</v>
      </c>
      <c r="C7" s="326">
        <v>4</v>
      </c>
      <c r="D7" s="266" t="s">
        <v>1374</v>
      </c>
      <c r="F7" s="343"/>
      <c r="G7" s="343"/>
      <c r="H7" s="343"/>
      <c r="U7" s="344"/>
      <c r="V7" s="344"/>
      <c r="W7" s="344"/>
      <c r="X7" s="344"/>
      <c r="Y7" s="344"/>
      <c r="Z7" s="344"/>
      <c r="AA7" s="344"/>
      <c r="AB7" s="344"/>
      <c r="AC7" s="344"/>
    </row>
    <row r="8" spans="1:31" ht="20.100000000000001" customHeight="1">
      <c r="A8" s="1256"/>
      <c r="B8" s="266" t="s">
        <v>1264</v>
      </c>
      <c r="C8" s="326">
        <v>1</v>
      </c>
      <c r="D8" s="345" t="s">
        <v>1509</v>
      </c>
      <c r="F8" s="343"/>
      <c r="G8" s="343"/>
      <c r="H8" s="343"/>
      <c r="V8" s="344"/>
      <c r="W8" s="344"/>
      <c r="X8" s="344"/>
      <c r="Y8" s="344"/>
      <c r="Z8" s="344"/>
      <c r="AA8" s="344"/>
      <c r="AB8" s="344"/>
      <c r="AC8" s="344"/>
      <c r="AD8" s="344"/>
    </row>
    <row r="9" spans="1:31" ht="20.100000000000001" customHeight="1">
      <c r="A9" s="394" t="s">
        <v>1377</v>
      </c>
      <c r="B9" s="266" t="s">
        <v>1372</v>
      </c>
      <c r="C9" s="284">
        <f>9.8*C4*C7/C8/2</f>
        <v>49</v>
      </c>
      <c r="D9" s="266"/>
      <c r="F9" s="343"/>
      <c r="G9" s="343"/>
      <c r="H9" s="343"/>
      <c r="U9" s="344"/>
      <c r="V9" s="344"/>
      <c r="W9" s="344"/>
    </row>
    <row r="10" spans="1:31" ht="20.100000000000001" customHeight="1">
      <c r="A10" s="395"/>
      <c r="B10" s="345" t="s">
        <v>1347</v>
      </c>
      <c r="C10" s="369" t="s">
        <v>1375</v>
      </c>
      <c r="D10" s="266"/>
      <c r="F10" s="245"/>
      <c r="G10" s="418"/>
      <c r="H10" s="419"/>
      <c r="I10" s="419"/>
      <c r="J10" s="419"/>
      <c r="K10" s="343"/>
      <c r="L10" s="343"/>
      <c r="M10" s="349"/>
    </row>
    <row r="11" spans="1:31" ht="20.100000000000001" customHeight="1">
      <c r="A11" s="395"/>
      <c r="B11" s="345" t="s">
        <v>1376</v>
      </c>
      <c r="C11" s="403">
        <v>16</v>
      </c>
      <c r="D11" s="345" t="s">
        <v>1387</v>
      </c>
      <c r="F11" s="245"/>
      <c r="G11" s="418"/>
      <c r="H11" s="419"/>
      <c r="I11" s="419"/>
      <c r="J11" s="419"/>
      <c r="K11" s="343"/>
      <c r="L11" s="343"/>
      <c r="M11" s="349"/>
      <c r="O11" s="333"/>
    </row>
    <row r="12" spans="1:31" ht="20.100000000000001" customHeight="1">
      <c r="A12" s="416" t="s">
        <v>1340</v>
      </c>
      <c r="B12" s="1276" t="str">
        <f>IF(C10="HFZ/HFK复动型","HFZ/HFK "&amp;C11,IF(C10="HFTZ/HFTK常开型","HFTZ/HFT "&amp;C11,IF(C10="HFSZ/HFSK常闭型","HFSZ/HFSK "&amp;C11,"请选择气缸类型")))</f>
        <v>HFZ/HFK 16</v>
      </c>
      <c r="C12" s="1277"/>
      <c r="D12" s="1278"/>
      <c r="F12" s="343"/>
      <c r="G12" s="343"/>
      <c r="H12" s="343"/>
      <c r="AA12" s="343"/>
    </row>
    <row r="13" spans="1:31" ht="20.100000000000001" customHeight="1">
      <c r="A13" s="420"/>
      <c r="B13" s="421"/>
      <c r="C13" s="421"/>
      <c r="D13" s="421"/>
      <c r="F13" s="343"/>
      <c r="G13" s="343"/>
      <c r="H13" s="343"/>
      <c r="I13" s="343"/>
      <c r="J13" s="343"/>
      <c r="K13" s="343"/>
      <c r="L13" s="343"/>
      <c r="M13" s="343"/>
      <c r="AA13" s="343"/>
    </row>
    <row r="14" spans="1:31" ht="20.100000000000001" customHeight="1">
      <c r="A14" s="1272" t="s">
        <v>1510</v>
      </c>
      <c r="B14" s="1272"/>
      <c r="C14" s="1272"/>
      <c r="D14" s="1272"/>
      <c r="F14" s="343"/>
      <c r="G14" s="343"/>
      <c r="H14" s="343"/>
      <c r="I14" s="343"/>
      <c r="J14" s="343"/>
      <c r="K14" s="343"/>
      <c r="L14" s="343"/>
      <c r="M14" s="343"/>
      <c r="P14" s="343"/>
      <c r="Q14" s="343"/>
      <c r="AA14" s="343"/>
    </row>
    <row r="15" spans="1:31" ht="20.100000000000001" customHeight="1">
      <c r="A15" s="1272"/>
      <c r="B15" s="1272"/>
      <c r="C15" s="1272"/>
      <c r="D15" s="1272"/>
      <c r="F15" s="343"/>
      <c r="G15" s="343"/>
      <c r="H15" s="343"/>
      <c r="I15" s="343"/>
      <c r="J15" s="343"/>
      <c r="K15" s="343"/>
      <c r="L15" s="343"/>
      <c r="M15" s="343"/>
      <c r="AA15" s="343"/>
    </row>
    <row r="16" spans="1:31" ht="20.100000000000001" customHeight="1">
      <c r="A16" s="1272"/>
      <c r="B16" s="1272"/>
      <c r="C16" s="1272"/>
      <c r="D16" s="1272"/>
      <c r="F16" s="343"/>
      <c r="G16" s="343"/>
      <c r="H16" s="343"/>
      <c r="I16" s="343"/>
      <c r="J16" s="343"/>
      <c r="K16" s="343"/>
      <c r="L16" s="343"/>
      <c r="M16" s="343"/>
      <c r="AA16" s="343"/>
    </row>
    <row r="17" spans="1:29" ht="20.100000000000001" customHeight="1">
      <c r="A17" s="1272"/>
      <c r="B17" s="1272"/>
      <c r="C17" s="1272"/>
      <c r="D17" s="1272"/>
      <c r="F17" s="343"/>
      <c r="G17" s="343"/>
      <c r="H17" s="343"/>
      <c r="I17" s="343"/>
      <c r="J17" s="343"/>
      <c r="K17" s="343"/>
      <c r="L17" s="343"/>
      <c r="M17" s="343"/>
      <c r="O17" s="343"/>
      <c r="AA17" s="343"/>
    </row>
    <row r="18" spans="1:29" ht="20.100000000000001" customHeight="1">
      <c r="A18" s="1272"/>
      <c r="B18" s="1272"/>
      <c r="C18" s="1272"/>
      <c r="D18" s="1272"/>
      <c r="F18" s="343"/>
      <c r="G18" s="343"/>
      <c r="H18" s="343"/>
      <c r="I18" s="343"/>
      <c r="J18" s="343"/>
      <c r="K18" s="343"/>
      <c r="L18" s="343"/>
      <c r="M18" s="343"/>
      <c r="AC18" s="343"/>
    </row>
    <row r="19" spans="1:29" ht="20.100000000000001" customHeight="1">
      <c r="A19" s="1272"/>
      <c r="B19" s="1272"/>
      <c r="C19" s="1272"/>
      <c r="D19" s="1272"/>
      <c r="F19" s="343"/>
      <c r="G19" s="343"/>
      <c r="H19" s="343"/>
      <c r="I19" s="343"/>
      <c r="J19" s="343"/>
      <c r="K19" s="343"/>
      <c r="L19" s="343"/>
      <c r="M19" s="343"/>
      <c r="AC19" s="343"/>
    </row>
    <row r="20" spans="1:29" ht="20.100000000000001" customHeight="1">
      <c r="A20" s="1272"/>
      <c r="B20" s="1272"/>
      <c r="C20" s="1272"/>
      <c r="D20" s="1272"/>
      <c r="F20" s="343"/>
      <c r="G20" s="343"/>
      <c r="H20" s="343"/>
      <c r="I20" s="343"/>
      <c r="J20" s="343"/>
      <c r="K20" s="343"/>
      <c r="L20" s="343"/>
      <c r="M20" s="343"/>
      <c r="AC20" s="343"/>
    </row>
    <row r="21" spans="1:29" ht="20.100000000000001" customHeight="1">
      <c r="A21" s="1272"/>
      <c r="B21" s="1272"/>
      <c r="C21" s="1272"/>
      <c r="D21" s="1272"/>
      <c r="F21" s="333"/>
      <c r="G21" s="343"/>
      <c r="H21" s="343"/>
      <c r="I21" s="343"/>
      <c r="J21" s="343"/>
      <c r="K21" s="343"/>
      <c r="L21" s="343"/>
      <c r="M21" s="343"/>
      <c r="AC21" s="343"/>
    </row>
    <row r="22" spans="1:29" ht="20.100000000000001" customHeight="1">
      <c r="A22" s="1273"/>
      <c r="B22" s="1273"/>
      <c r="C22" s="1273"/>
      <c r="D22" s="1273"/>
      <c r="F22" s="343"/>
      <c r="G22" s="343"/>
      <c r="H22" s="343"/>
      <c r="I22" s="343"/>
      <c r="J22" s="343"/>
      <c r="K22" s="343"/>
      <c r="L22" s="343"/>
      <c r="M22" s="343"/>
      <c r="AC22" s="343"/>
    </row>
    <row r="23" spans="1:29" ht="20.100000000000001" customHeight="1">
      <c r="A23" s="1227" t="s">
        <v>1378</v>
      </c>
      <c r="B23" s="1227"/>
      <c r="C23" s="1227"/>
      <c r="D23" s="1227"/>
      <c r="F23" s="343"/>
      <c r="G23" s="343"/>
      <c r="H23" s="343"/>
      <c r="I23" s="343"/>
      <c r="J23" s="343"/>
      <c r="K23" s="343"/>
      <c r="L23" s="343"/>
      <c r="M23" s="343"/>
      <c r="AC23" s="343"/>
    </row>
    <row r="24" spans="1:29" ht="20.100000000000001" customHeight="1">
      <c r="A24" s="1227"/>
      <c r="B24" s="1227"/>
      <c r="C24" s="1227"/>
      <c r="D24" s="1227"/>
      <c r="F24" s="343"/>
      <c r="G24" s="343"/>
      <c r="H24" s="343"/>
      <c r="I24" s="343"/>
      <c r="J24" s="343"/>
      <c r="K24" s="343"/>
      <c r="L24" s="343"/>
      <c r="M24" s="343"/>
      <c r="AC24" s="343"/>
    </row>
    <row r="25" spans="1:29" ht="20.100000000000001" customHeight="1">
      <c r="A25" s="1227"/>
      <c r="B25" s="1227"/>
      <c r="C25" s="1227"/>
      <c r="D25" s="1227"/>
      <c r="F25" s="343"/>
      <c r="G25" s="343"/>
      <c r="H25" s="343"/>
      <c r="I25" s="343"/>
      <c r="J25" s="343"/>
      <c r="K25" s="343"/>
      <c r="L25" s="343"/>
      <c r="M25" s="343"/>
      <c r="AB25" s="343"/>
    </row>
    <row r="26" spans="1:29" ht="20.100000000000001" customHeight="1">
      <c r="A26" s="1227"/>
      <c r="B26" s="1227"/>
      <c r="C26" s="1227"/>
      <c r="D26" s="1227"/>
      <c r="F26" s="343"/>
      <c r="G26" s="343"/>
      <c r="H26" s="343"/>
      <c r="I26" s="343"/>
      <c r="J26" s="343"/>
      <c r="K26" s="343"/>
      <c r="L26" s="343"/>
      <c r="M26" s="343"/>
      <c r="AB26" s="343"/>
    </row>
    <row r="27" spans="1:29" ht="20.100000000000001" customHeight="1">
      <c r="A27" s="262" t="s">
        <v>1508</v>
      </c>
      <c r="F27" s="343"/>
      <c r="G27" s="343"/>
      <c r="H27" s="343"/>
      <c r="I27" s="343"/>
      <c r="J27" s="343"/>
      <c r="K27" s="343"/>
      <c r="L27" s="343"/>
      <c r="M27" s="343"/>
      <c r="AB27" s="343"/>
    </row>
    <row r="28" spans="1:29" ht="20.100000000000001" customHeight="1">
      <c r="A28" s="1275"/>
      <c r="B28" s="1275"/>
      <c r="C28" s="1274"/>
      <c r="D28" s="1274"/>
      <c r="F28" s="343"/>
      <c r="G28" s="343"/>
      <c r="H28" s="343"/>
      <c r="I28" s="343"/>
      <c r="J28" s="343"/>
      <c r="K28" s="343"/>
      <c r="L28" s="343"/>
      <c r="M28" s="343"/>
      <c r="AB28" s="343"/>
    </row>
    <row r="29" spans="1:29" ht="20.100000000000001" customHeight="1">
      <c r="A29" s="1275"/>
      <c r="B29" s="1275"/>
      <c r="C29" s="422"/>
      <c r="D29" s="423"/>
      <c r="F29" s="343"/>
      <c r="G29" s="343"/>
      <c r="H29" s="343"/>
      <c r="I29" s="343"/>
      <c r="J29" s="343"/>
      <c r="K29" s="343"/>
      <c r="L29" s="343"/>
      <c r="M29" s="343"/>
      <c r="AB29" s="343"/>
    </row>
    <row r="30" spans="1:29" ht="20.100000000000001" customHeight="1">
      <c r="A30" s="423"/>
      <c r="B30" s="423"/>
      <c r="C30" s="423"/>
      <c r="D30" s="423"/>
      <c r="F30" s="343"/>
      <c r="G30" s="343"/>
      <c r="H30" s="343"/>
      <c r="I30" s="343"/>
      <c r="J30" s="343"/>
      <c r="K30" s="343"/>
      <c r="L30" s="343"/>
      <c r="M30" s="343"/>
      <c r="AB30" s="343"/>
    </row>
    <row r="31" spans="1:29" ht="20.100000000000001" customHeight="1">
      <c r="A31" s="423"/>
      <c r="B31" s="423"/>
      <c r="C31" s="423"/>
      <c r="D31" s="423"/>
      <c r="F31" s="343"/>
      <c r="G31" s="343"/>
      <c r="H31" s="343"/>
      <c r="I31" s="343"/>
      <c r="J31" s="343"/>
      <c r="K31" s="343"/>
      <c r="L31" s="343"/>
      <c r="M31" s="343"/>
      <c r="AB31" s="343"/>
    </row>
    <row r="32" spans="1:29" ht="20.100000000000001" customHeight="1">
      <c r="A32" s="423"/>
      <c r="B32" s="423"/>
      <c r="C32" s="423"/>
      <c r="D32" s="423"/>
      <c r="F32" s="343"/>
      <c r="G32" s="343"/>
      <c r="H32" s="343"/>
      <c r="I32" s="343"/>
      <c r="J32" s="343"/>
      <c r="K32" s="343"/>
      <c r="L32" s="343"/>
      <c r="M32" s="343"/>
      <c r="AB32" s="343"/>
    </row>
    <row r="33" spans="1:29" ht="20.100000000000001" customHeight="1">
      <c r="A33" s="423"/>
      <c r="B33" s="423"/>
      <c r="C33" s="423"/>
      <c r="D33" s="423"/>
      <c r="F33" s="343"/>
      <c r="G33" s="343"/>
      <c r="H33" s="343"/>
      <c r="I33" s="343"/>
      <c r="J33" s="343"/>
      <c r="K33" s="343"/>
      <c r="L33" s="343"/>
      <c r="M33" s="343"/>
      <c r="AC33" s="343"/>
    </row>
    <row r="34" spans="1:29" ht="20.100000000000001" customHeight="1">
      <c r="A34" s="423"/>
      <c r="B34" s="423"/>
      <c r="C34" s="423"/>
      <c r="D34" s="423"/>
      <c r="F34" s="343"/>
      <c r="G34" s="343"/>
      <c r="H34" s="343"/>
      <c r="I34" s="343"/>
      <c r="J34" s="343"/>
      <c r="K34" s="343"/>
      <c r="L34" s="343"/>
      <c r="M34" s="343"/>
      <c r="AC34" s="343"/>
    </row>
    <row r="35" spans="1:29" ht="20.100000000000001" customHeight="1">
      <c r="A35" s="423"/>
      <c r="B35" s="423"/>
      <c r="C35" s="423"/>
      <c r="D35" s="423"/>
      <c r="F35" s="343"/>
      <c r="G35" s="343"/>
      <c r="H35" s="343"/>
      <c r="I35" s="343"/>
      <c r="J35" s="343"/>
      <c r="K35" s="343"/>
      <c r="L35" s="343"/>
      <c r="M35" s="343"/>
      <c r="AC35" s="343"/>
    </row>
    <row r="36" spans="1:29" ht="20.100000000000001" customHeight="1">
      <c r="A36" s="423"/>
      <c r="B36" s="423"/>
      <c r="C36" s="423"/>
      <c r="D36" s="423"/>
      <c r="F36" s="343"/>
      <c r="G36" s="343"/>
      <c r="H36" s="343"/>
      <c r="I36" s="343"/>
      <c r="J36" s="343"/>
      <c r="K36" s="343"/>
      <c r="L36" s="343"/>
      <c r="M36" s="343"/>
      <c r="AC36" s="343"/>
    </row>
    <row r="37" spans="1:29" ht="20.100000000000001" customHeight="1">
      <c r="A37" s="423"/>
      <c r="B37" s="423"/>
      <c r="C37" s="423"/>
      <c r="D37" s="423"/>
      <c r="F37" s="343"/>
      <c r="G37" s="343"/>
      <c r="H37" s="343"/>
      <c r="I37" s="343"/>
      <c r="J37" s="343"/>
      <c r="K37" s="343"/>
      <c r="L37" s="343"/>
      <c r="M37" s="343"/>
      <c r="P37" s="368"/>
      <c r="AC37" s="343"/>
    </row>
    <row r="38" spans="1:29" ht="20.100000000000001" customHeight="1">
      <c r="A38" s="423"/>
      <c r="B38" s="423"/>
      <c r="C38" s="423"/>
      <c r="D38" s="423"/>
      <c r="F38" s="343"/>
      <c r="G38" s="343"/>
      <c r="H38" s="343"/>
      <c r="I38" s="343"/>
      <c r="J38" s="343"/>
      <c r="K38" s="343"/>
      <c r="L38" s="343"/>
      <c r="M38" s="343"/>
      <c r="P38" s="368"/>
      <c r="AC38" s="343"/>
    </row>
    <row r="39" spans="1:29" ht="20.100000000000001" customHeight="1">
      <c r="A39" s="423"/>
      <c r="B39" s="423"/>
      <c r="C39" s="423"/>
      <c r="D39" s="423"/>
      <c r="F39" s="343"/>
      <c r="G39" s="343"/>
      <c r="H39" s="343"/>
      <c r="I39" s="343"/>
      <c r="J39" s="343"/>
      <c r="K39" s="343"/>
      <c r="L39" s="343"/>
      <c r="M39" s="343"/>
      <c r="P39" s="368"/>
      <c r="AC39" s="343"/>
    </row>
    <row r="40" spans="1:29" ht="20.100000000000001" customHeight="1">
      <c r="A40" s="423"/>
      <c r="B40" s="423"/>
      <c r="C40" s="423"/>
      <c r="D40" s="423"/>
      <c r="F40" s="343"/>
      <c r="G40" s="343"/>
      <c r="H40" s="343"/>
      <c r="K40" s="368"/>
      <c r="X40" s="343"/>
      <c r="AC40" s="343"/>
    </row>
    <row r="41" spans="1:29" ht="20.100000000000001" customHeight="1">
      <c r="A41" s="423"/>
      <c r="B41" s="423"/>
      <c r="C41" s="423"/>
      <c r="D41" s="423"/>
      <c r="F41" s="343"/>
      <c r="G41" s="343"/>
      <c r="H41" s="343"/>
      <c r="K41" s="368"/>
      <c r="X41" s="343"/>
      <c r="AC41" s="343"/>
    </row>
    <row r="42" spans="1:29" ht="20.100000000000001" customHeight="1">
      <c r="A42" s="423"/>
      <c r="B42" s="423"/>
      <c r="C42" s="423"/>
      <c r="D42" s="423"/>
      <c r="F42" s="343"/>
      <c r="G42" s="343"/>
      <c r="H42" s="343"/>
      <c r="K42" s="368"/>
      <c r="X42" s="343"/>
      <c r="AC42" s="343"/>
    </row>
    <row r="43" spans="1:29" ht="20.100000000000001" customHeight="1">
      <c r="A43" s="423"/>
      <c r="B43" s="423"/>
      <c r="C43" s="423"/>
      <c r="D43" s="423"/>
      <c r="F43" s="343"/>
      <c r="G43" s="343"/>
      <c r="H43" s="343"/>
      <c r="I43" s="343"/>
      <c r="J43" s="343"/>
      <c r="K43" s="343"/>
      <c r="L43" s="343"/>
      <c r="M43" s="343"/>
      <c r="AC43" s="343"/>
    </row>
    <row r="44" spans="1:29" ht="20.100000000000001" customHeight="1">
      <c r="A44" s="423"/>
      <c r="B44" s="423"/>
      <c r="C44" s="423"/>
      <c r="D44" s="423"/>
      <c r="F44" s="343"/>
      <c r="G44" s="343"/>
      <c r="H44" s="343"/>
      <c r="I44" s="343"/>
      <c r="J44" s="343"/>
      <c r="K44" s="343"/>
      <c r="L44" s="343"/>
      <c r="M44" s="343"/>
      <c r="AC44" s="343"/>
    </row>
    <row r="45" spans="1:29" ht="20.100000000000001" customHeight="1">
      <c r="A45" s="423"/>
      <c r="B45" s="423"/>
      <c r="C45" s="423"/>
      <c r="D45" s="423"/>
      <c r="F45" s="343"/>
      <c r="G45" s="343"/>
      <c r="H45" s="343"/>
      <c r="I45" s="343"/>
      <c r="J45" s="343"/>
      <c r="K45" s="343"/>
      <c r="L45" s="343"/>
      <c r="M45" s="343"/>
      <c r="AC45" s="343"/>
    </row>
    <row r="46" spans="1:29" ht="20.100000000000001" customHeight="1">
      <c r="A46" s="423"/>
      <c r="B46" s="423"/>
      <c r="C46" s="423"/>
      <c r="D46" s="423"/>
      <c r="F46" s="343"/>
      <c r="G46" s="343"/>
      <c r="H46" s="343"/>
      <c r="I46" s="343"/>
      <c r="J46" s="343"/>
      <c r="K46" s="343"/>
      <c r="L46" s="343"/>
      <c r="M46" s="343"/>
    </row>
    <row r="47" spans="1:29" ht="20.100000000000001" customHeight="1">
      <c r="A47" s="423"/>
      <c r="B47" s="423"/>
      <c r="C47" s="423"/>
      <c r="D47" s="423"/>
      <c r="F47" s="343"/>
      <c r="G47" s="343"/>
      <c r="H47" s="343"/>
      <c r="I47" s="343"/>
      <c r="J47" s="343"/>
      <c r="K47" s="343"/>
      <c r="L47" s="343"/>
      <c r="M47" s="343"/>
    </row>
    <row r="48" spans="1:29" ht="20.100000000000001" customHeight="1">
      <c r="A48" s="423"/>
      <c r="B48" s="423"/>
      <c r="C48" s="423"/>
      <c r="D48" s="423"/>
      <c r="F48" s="343"/>
      <c r="G48" s="343"/>
      <c r="H48" s="343"/>
      <c r="I48" s="343"/>
      <c r="J48" s="343"/>
      <c r="K48" s="343"/>
      <c r="L48" s="343"/>
      <c r="M48" s="343"/>
    </row>
    <row r="49" spans="1:29" ht="20.100000000000001" customHeight="1">
      <c r="A49" s="423"/>
      <c r="B49" s="423"/>
      <c r="C49" s="423"/>
      <c r="D49" s="423"/>
      <c r="F49" s="343"/>
      <c r="G49" s="343"/>
      <c r="H49" s="343"/>
      <c r="I49" s="343"/>
      <c r="J49" s="343"/>
      <c r="K49" s="343"/>
      <c r="L49" s="343"/>
      <c r="M49" s="343"/>
      <c r="AC49" s="343"/>
    </row>
    <row r="50" spans="1:29" ht="20.100000000000001" customHeight="1">
      <c r="A50" s="423"/>
      <c r="B50" s="423"/>
      <c r="C50" s="423"/>
      <c r="D50" s="423"/>
      <c r="F50" s="343"/>
      <c r="G50" s="343"/>
      <c r="H50" s="343"/>
      <c r="I50" s="343"/>
      <c r="J50" s="343"/>
      <c r="K50" s="343"/>
      <c r="L50" s="343"/>
      <c r="M50" s="343"/>
      <c r="AC50" s="343"/>
    </row>
    <row r="51" spans="1:29" ht="20.100000000000001" customHeight="1">
      <c r="A51" s="423"/>
      <c r="B51" s="423"/>
      <c r="C51" s="423"/>
      <c r="D51" s="423"/>
      <c r="F51" s="343"/>
      <c r="G51" s="343"/>
      <c r="H51" s="343"/>
      <c r="I51" s="343"/>
      <c r="J51" s="343"/>
      <c r="K51" s="343"/>
      <c r="L51" s="343"/>
      <c r="M51" s="343"/>
      <c r="AC51" s="343"/>
    </row>
    <row r="52" spans="1:29" ht="20.100000000000001" customHeight="1">
      <c r="A52" s="423"/>
      <c r="B52" s="423"/>
      <c r="C52" s="423"/>
      <c r="D52" s="423"/>
      <c r="F52" s="343"/>
      <c r="G52" s="343"/>
      <c r="H52" s="343"/>
      <c r="I52" s="343"/>
      <c r="J52" s="343"/>
      <c r="K52" s="343"/>
      <c r="L52" s="343"/>
      <c r="M52" s="343"/>
      <c r="AC52" s="343"/>
    </row>
    <row r="53" spans="1:29" ht="20.100000000000001" customHeight="1">
      <c r="A53" s="423"/>
      <c r="B53" s="423"/>
      <c r="C53" s="423"/>
      <c r="D53" s="423"/>
      <c r="F53" s="343"/>
      <c r="G53" s="343"/>
      <c r="H53" s="343"/>
      <c r="I53" s="343"/>
      <c r="J53" s="343"/>
      <c r="K53" s="343"/>
      <c r="L53" s="343"/>
      <c r="M53" s="343"/>
      <c r="AC53" s="343"/>
    </row>
    <row r="54" spans="1:29" ht="20.100000000000001" customHeight="1">
      <c r="A54" s="423"/>
      <c r="B54" s="423"/>
      <c r="C54" s="423"/>
      <c r="D54" s="423"/>
      <c r="F54" s="343"/>
      <c r="G54" s="343"/>
      <c r="H54" s="343"/>
      <c r="I54" s="343"/>
      <c r="J54" s="343"/>
      <c r="K54" s="343"/>
      <c r="L54" s="343"/>
      <c r="M54" s="343"/>
      <c r="AC54" s="343"/>
    </row>
    <row r="55" spans="1:29" ht="20.100000000000001" customHeight="1">
      <c r="A55" s="423"/>
      <c r="B55" s="423"/>
      <c r="C55" s="423"/>
      <c r="D55" s="423"/>
      <c r="F55" s="343"/>
      <c r="G55" s="343"/>
      <c r="H55" s="343"/>
      <c r="I55" s="343"/>
      <c r="J55" s="343"/>
      <c r="K55" s="343"/>
      <c r="L55" s="343"/>
      <c r="M55" s="343"/>
      <c r="AC55" s="343"/>
    </row>
    <row r="56" spans="1:29" ht="20.100000000000001" customHeight="1">
      <c r="A56" s="423"/>
      <c r="B56" s="423"/>
      <c r="C56" s="423"/>
      <c r="D56" s="423"/>
      <c r="F56" s="343"/>
      <c r="G56" s="343"/>
      <c r="H56" s="343"/>
      <c r="I56" s="343"/>
      <c r="J56" s="343"/>
      <c r="K56" s="343"/>
      <c r="L56" s="343"/>
      <c r="M56" s="343"/>
      <c r="AC56" s="343"/>
    </row>
    <row r="57" spans="1:29" ht="20.100000000000001" customHeight="1">
      <c r="A57" s="423"/>
      <c r="B57" s="423"/>
      <c r="C57" s="423"/>
      <c r="D57" s="423"/>
      <c r="F57" s="343"/>
      <c r="G57" s="343"/>
      <c r="H57" s="343"/>
      <c r="I57" s="343"/>
      <c r="J57" s="343"/>
      <c r="K57" s="343"/>
      <c r="L57" s="343"/>
      <c r="M57" s="343"/>
      <c r="AC57" s="343"/>
    </row>
    <row r="58" spans="1:29" ht="20.100000000000001" customHeight="1">
      <c r="A58" s="423"/>
      <c r="B58" s="423"/>
      <c r="C58" s="423"/>
      <c r="D58" s="423"/>
      <c r="F58" s="343"/>
      <c r="G58" s="343"/>
      <c r="H58" s="343"/>
      <c r="I58" s="343"/>
      <c r="J58" s="343"/>
      <c r="K58" s="343"/>
      <c r="L58" s="343"/>
      <c r="M58" s="343"/>
      <c r="AC58" s="343"/>
    </row>
    <row r="59" spans="1:29" ht="20.100000000000001" customHeight="1">
      <c r="A59" s="423"/>
      <c r="B59" s="423"/>
      <c r="C59" s="423"/>
      <c r="D59" s="423"/>
      <c r="F59" s="343"/>
      <c r="G59" s="343"/>
      <c r="H59" s="343"/>
      <c r="I59" s="343"/>
      <c r="J59" s="343"/>
      <c r="K59" s="343"/>
      <c r="L59" s="343"/>
      <c r="M59" s="343"/>
      <c r="AC59" s="343"/>
    </row>
    <row r="60" spans="1:29" ht="20.100000000000001" customHeight="1">
      <c r="A60" s="423"/>
      <c r="B60" s="423"/>
      <c r="C60" s="423"/>
      <c r="D60" s="423"/>
      <c r="F60" s="343"/>
      <c r="G60" s="343"/>
      <c r="H60" s="343"/>
      <c r="I60" s="343"/>
      <c r="J60" s="343"/>
      <c r="K60" s="343"/>
      <c r="L60" s="343"/>
      <c r="M60" s="343"/>
      <c r="AC60" s="343"/>
    </row>
    <row r="61" spans="1:29" ht="20.100000000000001" customHeight="1">
      <c r="A61" s="423"/>
      <c r="B61" s="423"/>
      <c r="C61" s="423"/>
      <c r="D61" s="423"/>
      <c r="F61" s="343"/>
      <c r="G61" s="343"/>
      <c r="H61" s="343"/>
      <c r="I61" s="343"/>
      <c r="J61" s="343"/>
      <c r="K61" s="343"/>
      <c r="L61" s="343"/>
      <c r="M61" s="343"/>
      <c r="AC61" s="343"/>
    </row>
    <row r="62" spans="1:29" ht="20.100000000000001" customHeight="1">
      <c r="A62" s="423"/>
      <c r="B62" s="423"/>
      <c r="C62" s="423"/>
      <c r="D62" s="423"/>
      <c r="F62" s="343"/>
      <c r="G62" s="343"/>
      <c r="H62" s="343"/>
      <c r="I62" s="343"/>
      <c r="J62" s="343"/>
      <c r="K62" s="343"/>
      <c r="L62" s="343"/>
      <c r="M62" s="343"/>
      <c r="AC62" s="343"/>
    </row>
    <row r="63" spans="1:29" ht="20.100000000000001" customHeight="1">
      <c r="A63" s="423"/>
      <c r="B63" s="423"/>
      <c r="C63" s="423"/>
      <c r="D63" s="423"/>
      <c r="F63" s="343"/>
      <c r="G63" s="343"/>
      <c r="H63" s="343"/>
      <c r="I63" s="343"/>
      <c r="J63" s="343"/>
      <c r="K63" s="343"/>
      <c r="AC63" s="343"/>
    </row>
    <row r="64" spans="1:29" ht="20.100000000000001" customHeight="1">
      <c r="A64" s="423"/>
      <c r="B64" s="423"/>
      <c r="C64" s="423"/>
      <c r="D64" s="423"/>
      <c r="F64" s="343"/>
      <c r="G64" s="343"/>
      <c r="H64" s="343"/>
      <c r="I64" s="343"/>
      <c r="J64" s="343"/>
      <c r="K64" s="343"/>
      <c r="AC64" s="343"/>
    </row>
    <row r="65" spans="1:29" ht="20.100000000000001" customHeight="1">
      <c r="A65" s="423"/>
      <c r="B65" s="423"/>
      <c r="C65" s="423"/>
      <c r="D65" s="423"/>
      <c r="F65" s="343"/>
      <c r="G65" s="343"/>
      <c r="H65" s="343"/>
      <c r="I65" s="343"/>
      <c r="J65" s="343"/>
      <c r="K65" s="343"/>
      <c r="AC65" s="343"/>
    </row>
    <row r="66" spans="1:29" ht="20.100000000000001" customHeight="1">
      <c r="A66" s="423"/>
      <c r="B66" s="423"/>
      <c r="C66" s="423"/>
      <c r="D66" s="423"/>
      <c r="K66" s="343"/>
      <c r="AC66" s="343"/>
    </row>
    <row r="67" spans="1:29" ht="20.100000000000001" customHeight="1">
      <c r="A67" s="423"/>
      <c r="B67" s="423"/>
      <c r="C67" s="423"/>
      <c r="D67" s="423"/>
    </row>
    <row r="68" spans="1:29" ht="20.100000000000001" customHeight="1">
      <c r="A68" s="423"/>
      <c r="B68" s="423"/>
      <c r="C68" s="423"/>
      <c r="D68" s="423"/>
    </row>
    <row r="69" spans="1:29" ht="20.100000000000001" customHeight="1">
      <c r="A69" s="423"/>
      <c r="B69" s="423"/>
      <c r="C69" s="423"/>
      <c r="D69" s="423"/>
    </row>
    <row r="70" spans="1:29" ht="20.100000000000001" customHeight="1">
      <c r="A70" s="423"/>
      <c r="B70" s="423"/>
      <c r="C70" s="423"/>
      <c r="D70" s="423"/>
    </row>
    <row r="71" spans="1:29" ht="20.100000000000001" customHeight="1">
      <c r="A71" s="423"/>
      <c r="B71" s="423"/>
      <c r="C71" s="423"/>
      <c r="D71" s="423"/>
    </row>
    <row r="72" spans="1:29" ht="20.100000000000001" customHeight="1">
      <c r="A72" s="423"/>
      <c r="B72" s="423"/>
      <c r="C72" s="423"/>
      <c r="D72" s="423"/>
    </row>
    <row r="73" spans="1:29" ht="20.100000000000001" customHeight="1">
      <c r="A73" s="423"/>
      <c r="B73" s="423"/>
      <c r="C73" s="423"/>
      <c r="D73" s="423"/>
    </row>
    <row r="74" spans="1:29" ht="20.100000000000001" customHeight="1">
      <c r="A74" s="423"/>
      <c r="B74" s="423"/>
      <c r="C74" s="423"/>
      <c r="D74" s="423"/>
    </row>
    <row r="75" spans="1:29" ht="20.100000000000001" customHeight="1">
      <c r="A75" s="423"/>
      <c r="B75" s="423"/>
      <c r="C75" s="423"/>
      <c r="D75" s="423"/>
    </row>
    <row r="76" spans="1:29" ht="20.100000000000001" customHeight="1">
      <c r="A76" s="423"/>
      <c r="B76" s="423"/>
      <c r="C76" s="423"/>
      <c r="D76" s="423"/>
    </row>
    <row r="77" spans="1:29" ht="20.100000000000001" customHeight="1">
      <c r="A77" s="423"/>
      <c r="B77" s="423"/>
      <c r="C77" s="423"/>
      <c r="D77" s="423"/>
    </row>
    <row r="78" spans="1:29" ht="20.100000000000001" customHeight="1">
      <c r="A78" s="423"/>
      <c r="B78" s="423"/>
      <c r="C78" s="423"/>
      <c r="D78" s="423"/>
    </row>
    <row r="79" spans="1:29" ht="20.100000000000001" customHeight="1">
      <c r="A79" s="423"/>
      <c r="B79" s="423"/>
      <c r="C79" s="423"/>
      <c r="D79" s="423"/>
    </row>
    <row r="80" spans="1:29" ht="20.100000000000001" customHeight="1">
      <c r="A80" s="423"/>
      <c r="B80" s="423"/>
      <c r="C80" s="423"/>
      <c r="D80" s="423"/>
    </row>
    <row r="81" spans="1:4" ht="20.100000000000001" customHeight="1">
      <c r="A81" s="423"/>
      <c r="B81" s="423"/>
      <c r="C81" s="423"/>
      <c r="D81" s="423"/>
    </row>
    <row r="82" spans="1:4" ht="20.100000000000001" customHeight="1">
      <c r="A82" s="423"/>
      <c r="B82" s="423"/>
      <c r="C82" s="423"/>
      <c r="D82" s="423"/>
    </row>
    <row r="83" spans="1:4" ht="20.100000000000001" customHeight="1">
      <c r="A83" s="423"/>
      <c r="B83" s="423"/>
      <c r="C83" s="423"/>
      <c r="D83" s="423"/>
    </row>
    <row r="84" spans="1:4" ht="20.100000000000001" customHeight="1">
      <c r="A84" s="423"/>
      <c r="B84" s="423"/>
      <c r="C84" s="423"/>
      <c r="D84" s="423"/>
    </row>
    <row r="85" spans="1:4" ht="20.100000000000001" customHeight="1">
      <c r="A85" s="423"/>
      <c r="B85" s="423"/>
      <c r="C85" s="423"/>
      <c r="D85" s="423"/>
    </row>
    <row r="86" spans="1:4" ht="20.100000000000001" customHeight="1">
      <c r="A86" s="423"/>
      <c r="B86" s="423"/>
      <c r="C86" s="423"/>
      <c r="D86" s="423"/>
    </row>
    <row r="87" spans="1:4" ht="20.100000000000001" customHeight="1">
      <c r="A87" s="423"/>
      <c r="B87" s="423"/>
      <c r="C87" s="423"/>
      <c r="D87" s="423"/>
    </row>
    <row r="88" spans="1:4" ht="20.100000000000001" customHeight="1">
      <c r="A88" s="423"/>
      <c r="B88" s="423"/>
      <c r="C88" s="423"/>
      <c r="D88" s="423"/>
    </row>
    <row r="89" spans="1:4" ht="20.100000000000001" customHeight="1">
      <c r="A89" s="423"/>
      <c r="B89" s="423"/>
      <c r="C89" s="423"/>
      <c r="D89" s="423"/>
    </row>
    <row r="90" spans="1:4" ht="20.100000000000001" customHeight="1">
      <c r="A90" s="423"/>
      <c r="B90" s="423"/>
      <c r="C90" s="423"/>
      <c r="D90" s="423"/>
    </row>
    <row r="91" spans="1:4" ht="20.100000000000001" customHeight="1">
      <c r="A91" s="423"/>
      <c r="B91" s="423"/>
      <c r="C91" s="423"/>
      <c r="D91" s="423"/>
    </row>
    <row r="92" spans="1:4" ht="20.100000000000001" customHeight="1">
      <c r="A92" s="423"/>
      <c r="B92" s="423"/>
      <c r="C92" s="423"/>
      <c r="D92" s="423"/>
    </row>
    <row r="93" spans="1:4" ht="20.100000000000001" customHeight="1">
      <c r="A93" s="423"/>
      <c r="B93" s="423"/>
      <c r="C93" s="423"/>
      <c r="D93" s="423"/>
    </row>
    <row r="94" spans="1:4" ht="20.100000000000001" customHeight="1">
      <c r="A94" s="423"/>
      <c r="B94" s="423"/>
      <c r="C94" s="423"/>
      <c r="D94" s="423"/>
    </row>
    <row r="95" spans="1:4" ht="20.100000000000001" customHeight="1">
      <c r="A95" s="423"/>
      <c r="B95" s="423"/>
      <c r="C95" s="423"/>
      <c r="D95" s="423"/>
    </row>
    <row r="96" spans="1:4" ht="20.100000000000001" customHeight="1">
      <c r="A96" s="423"/>
      <c r="B96" s="423"/>
      <c r="C96" s="423"/>
      <c r="D96" s="423"/>
    </row>
    <row r="97" spans="1:4" ht="20.100000000000001" customHeight="1">
      <c r="A97" s="423"/>
      <c r="B97" s="423"/>
      <c r="C97" s="423"/>
      <c r="D97" s="423"/>
    </row>
    <row r="98" spans="1:4" ht="20.100000000000001" customHeight="1">
      <c r="A98" s="423"/>
      <c r="B98" s="423"/>
      <c r="C98" s="423"/>
      <c r="D98" s="423"/>
    </row>
    <row r="99" spans="1:4" ht="20.100000000000001" customHeight="1">
      <c r="A99" s="423"/>
      <c r="B99" s="423"/>
      <c r="C99" s="423"/>
      <c r="D99" s="423"/>
    </row>
    <row r="100" spans="1:4" ht="20.100000000000001" customHeight="1">
      <c r="A100" s="423"/>
      <c r="B100" s="423"/>
      <c r="C100" s="423"/>
      <c r="D100" s="423"/>
    </row>
    <row r="101" spans="1:4" ht="20.100000000000001" customHeight="1">
      <c r="A101" s="423"/>
      <c r="B101" s="423"/>
      <c r="C101" s="423"/>
      <c r="D101" s="423"/>
    </row>
    <row r="102" spans="1:4" ht="20.100000000000001" customHeight="1">
      <c r="A102" s="423"/>
      <c r="B102" s="423"/>
      <c r="C102" s="423"/>
      <c r="D102" s="423"/>
    </row>
    <row r="103" spans="1:4" ht="20.100000000000001" customHeight="1">
      <c r="A103" s="423"/>
      <c r="B103" s="423"/>
      <c r="C103" s="423"/>
      <c r="D103" s="423"/>
    </row>
    <row r="104" spans="1:4" ht="20.100000000000001" customHeight="1">
      <c r="A104" s="423"/>
      <c r="B104" s="423"/>
      <c r="C104" s="423"/>
      <c r="D104" s="423"/>
    </row>
    <row r="105" spans="1:4" ht="20.100000000000001" customHeight="1">
      <c r="A105" s="423"/>
      <c r="B105" s="423"/>
      <c r="C105" s="423"/>
      <c r="D105" s="423"/>
    </row>
    <row r="106" spans="1:4" ht="20.100000000000001" customHeight="1">
      <c r="A106" s="423"/>
      <c r="B106" s="423"/>
      <c r="C106" s="423"/>
      <c r="D106" s="423"/>
    </row>
    <row r="107" spans="1:4" ht="20.100000000000001" customHeight="1">
      <c r="A107" s="424"/>
      <c r="B107" s="423"/>
      <c r="C107" s="423"/>
      <c r="D107" s="423"/>
    </row>
    <row r="108" spans="1:4" ht="20.100000000000001" customHeight="1">
      <c r="A108" s="424"/>
      <c r="B108" s="423"/>
      <c r="C108" s="423"/>
      <c r="D108" s="423"/>
    </row>
    <row r="109" spans="1:4" ht="20.100000000000001" customHeight="1">
      <c r="A109" s="424"/>
      <c r="B109" s="423"/>
      <c r="C109" s="423"/>
      <c r="D109" s="423"/>
    </row>
    <row r="110" spans="1:4" ht="20.100000000000001" customHeight="1">
      <c r="A110" s="424"/>
      <c r="B110" s="423"/>
      <c r="C110" s="423"/>
      <c r="D110" s="423"/>
    </row>
    <row r="111" spans="1:4" ht="20.100000000000001" customHeight="1">
      <c r="A111" s="424"/>
      <c r="B111" s="423"/>
      <c r="C111" s="423"/>
      <c r="D111" s="423"/>
    </row>
    <row r="112" spans="1:4" ht="20.100000000000001" customHeight="1">
      <c r="A112" s="423"/>
      <c r="B112" s="423"/>
      <c r="C112" s="423"/>
      <c r="D112" s="423"/>
    </row>
    <row r="113" spans="1:4" ht="20.100000000000001" customHeight="1">
      <c r="A113" s="423"/>
      <c r="B113" s="423"/>
      <c r="C113" s="423"/>
      <c r="D113" s="423"/>
    </row>
  </sheetData>
  <sheetProtection password="828E" sheet="1" objects="1" scenarios="1"/>
  <dataConsolidate/>
  <mergeCells count="8">
    <mergeCell ref="A4:A8"/>
    <mergeCell ref="A1:D1"/>
    <mergeCell ref="A14:D22"/>
    <mergeCell ref="C28:D28"/>
    <mergeCell ref="A28:A29"/>
    <mergeCell ref="B28:B29"/>
    <mergeCell ref="B12:D12"/>
    <mergeCell ref="A23:D26"/>
  </mergeCells>
  <phoneticPr fontId="4" type="noConversion"/>
  <dataValidations count="1">
    <dataValidation type="list" allowBlank="1" showInputMessage="1" showErrorMessage="1" prompt="请选择" sqref="C10">
      <formula1>"HFZ/HFK复动型,HFTZ/HFTK常开型,HFSZ/HFSK常闭型"</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sheetPr codeName="Sheet19"/>
  <dimension ref="A1:AE66"/>
  <sheetViews>
    <sheetView workbookViewId="0">
      <selection activeCell="E7" sqref="E7"/>
    </sheetView>
  </sheetViews>
  <sheetFormatPr defaultColWidth="15.625" defaultRowHeight="20.100000000000001" customHeight="1"/>
  <cols>
    <col min="1" max="1" width="13.375" style="262" customWidth="1"/>
    <col min="2" max="2" width="20" style="262" customWidth="1"/>
    <col min="3" max="3" width="11.125" style="263" customWidth="1"/>
    <col min="4" max="4" width="17.5" style="262" customWidth="1"/>
    <col min="5" max="5" width="5" style="262" customWidth="1"/>
    <col min="6" max="10" width="10.625" style="262" customWidth="1"/>
    <col min="11" max="11" width="8.875" style="262" customWidth="1"/>
    <col min="12" max="12" width="7.62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ht="21.95" customHeight="1">
      <c r="A1" s="1289" t="s">
        <v>2770</v>
      </c>
      <c r="B1" s="1290"/>
      <c r="C1" s="1290"/>
      <c r="D1" s="1290"/>
      <c r="F1" s="399" t="s">
        <v>1398</v>
      </c>
      <c r="G1" s="343"/>
      <c r="H1" s="343"/>
    </row>
    <row r="2" spans="1:31" ht="20.100000000000001" customHeight="1">
      <c r="A2" s="333" t="s">
        <v>1455</v>
      </c>
      <c r="F2" s="343"/>
      <c r="G2" s="343"/>
      <c r="H2" s="343"/>
      <c r="R2" s="344"/>
      <c r="S2" s="344"/>
      <c r="T2" s="344"/>
      <c r="V2" s="342"/>
      <c r="W2" s="342"/>
      <c r="X2" s="342"/>
      <c r="Y2" s="342"/>
      <c r="Z2" s="342"/>
      <c r="AA2" s="342"/>
      <c r="AB2" s="342"/>
      <c r="AC2" s="342"/>
      <c r="AD2" s="342"/>
    </row>
    <row r="3" spans="1:31" ht="20.100000000000001" customHeight="1">
      <c r="A3" s="266" t="s">
        <v>753</v>
      </c>
      <c r="B3" s="266" t="s">
        <v>754</v>
      </c>
      <c r="C3" s="267" t="s">
        <v>755</v>
      </c>
      <c r="D3" s="266" t="s">
        <v>762</v>
      </c>
      <c r="F3" s="343"/>
      <c r="G3" s="343"/>
      <c r="H3" s="343"/>
      <c r="T3" s="344"/>
      <c r="V3" s="342"/>
      <c r="W3" s="342"/>
      <c r="X3" s="342"/>
      <c r="Y3" s="342"/>
      <c r="Z3" s="342"/>
      <c r="AA3" s="342"/>
      <c r="AB3" s="342"/>
      <c r="AC3" s="342"/>
      <c r="AD3" s="342"/>
    </row>
    <row r="4" spans="1:31" ht="20.100000000000001" customHeight="1">
      <c r="A4" s="1218" t="s">
        <v>756</v>
      </c>
      <c r="B4" s="266" t="s">
        <v>1388</v>
      </c>
      <c r="C4" s="326">
        <v>100</v>
      </c>
      <c r="D4" s="266" t="str">
        <f>C4/10&amp;"cm"</f>
        <v>10cm</v>
      </c>
      <c r="F4" s="343"/>
      <c r="G4" s="343"/>
      <c r="H4" s="343"/>
      <c r="T4" s="344"/>
      <c r="W4" s="343"/>
      <c r="X4" s="343"/>
      <c r="Y4" s="343"/>
      <c r="Z4" s="343"/>
      <c r="AA4" s="343"/>
      <c r="AB4" s="343"/>
      <c r="AC4" s="343"/>
      <c r="AD4" s="343"/>
    </row>
    <row r="5" spans="1:31" ht="20.100000000000001" customHeight="1">
      <c r="A5" s="1219"/>
      <c r="B5" s="266" t="s">
        <v>1389</v>
      </c>
      <c r="C5" s="326">
        <v>300</v>
      </c>
      <c r="D5" s="335" t="s">
        <v>1399</v>
      </c>
      <c r="F5" s="343"/>
      <c r="G5" s="343"/>
      <c r="H5" s="343"/>
      <c r="T5" s="344"/>
      <c r="W5" s="344"/>
      <c r="X5" s="344"/>
      <c r="Y5" s="344"/>
      <c r="Z5" s="344"/>
      <c r="AA5" s="344"/>
      <c r="AB5" s="344"/>
      <c r="AC5" s="344"/>
      <c r="AD5" s="344"/>
      <c r="AE5" s="343"/>
    </row>
    <row r="6" spans="1:31" ht="20.100000000000001" customHeight="1">
      <c r="A6" s="1219"/>
      <c r="B6" s="266" t="s">
        <v>1391</v>
      </c>
      <c r="C6" s="326">
        <v>0.6</v>
      </c>
      <c r="D6" s="266" t="str">
        <f>C6*10&amp;"bar"</f>
        <v>6bar</v>
      </c>
      <c r="G6" s="343"/>
      <c r="H6" s="343"/>
      <c r="T6" s="344"/>
      <c r="W6" s="344"/>
      <c r="X6" s="344"/>
      <c r="Y6" s="344"/>
      <c r="Z6" s="344"/>
      <c r="AE6" s="344"/>
    </row>
    <row r="7" spans="1:31" ht="20.100000000000001" customHeight="1">
      <c r="A7" s="1220"/>
      <c r="B7" s="266" t="s">
        <v>1390</v>
      </c>
      <c r="C7" s="326">
        <v>0.5</v>
      </c>
      <c r="D7" s="266" t="str">
        <f t="shared" ref="D7:D8" si="0">C7*10&amp;"bar"</f>
        <v>5bar</v>
      </c>
      <c r="F7" s="343"/>
      <c r="G7" s="343"/>
      <c r="H7" s="343"/>
      <c r="U7" s="344"/>
      <c r="V7" s="344"/>
      <c r="W7" s="344"/>
      <c r="X7" s="344"/>
      <c r="Y7" s="344"/>
      <c r="Z7" s="344"/>
      <c r="AA7" s="344"/>
      <c r="AB7" s="344"/>
      <c r="AC7" s="344"/>
    </row>
    <row r="8" spans="1:31" ht="20.100000000000001" customHeight="1">
      <c r="A8" s="1084" t="s">
        <v>1422</v>
      </c>
      <c r="B8" s="266" t="s">
        <v>1392</v>
      </c>
      <c r="C8" s="379">
        <f>C6-C7</f>
        <v>9.9999999999999978E-2</v>
      </c>
      <c r="D8" s="266" t="str">
        <f t="shared" si="0"/>
        <v>1bar</v>
      </c>
      <c r="F8" s="399" t="s">
        <v>1401</v>
      </c>
      <c r="G8" s="343"/>
      <c r="H8" s="343"/>
      <c r="I8" s="343"/>
      <c r="J8" s="343"/>
      <c r="K8" s="343"/>
      <c r="L8" s="343"/>
      <c r="M8" s="343"/>
      <c r="V8" s="344"/>
      <c r="W8" s="344"/>
      <c r="X8" s="344"/>
      <c r="Y8" s="344"/>
      <c r="Z8" s="344"/>
      <c r="AA8" s="344"/>
      <c r="AB8" s="344"/>
      <c r="AC8" s="344"/>
      <c r="AD8" s="344"/>
    </row>
    <row r="9" spans="1:31" ht="20.100000000000001" customHeight="1">
      <c r="A9" s="1084"/>
      <c r="B9" s="266" t="s">
        <v>1416</v>
      </c>
      <c r="C9" s="287">
        <f>0.0462*(0.1*C4)^2*C5*(C6+0.102)</f>
        <v>972.97199999999998</v>
      </c>
      <c r="D9" s="266"/>
      <c r="F9" s="343"/>
      <c r="G9" s="343"/>
      <c r="H9" s="343"/>
      <c r="I9" s="343"/>
      <c r="J9" s="343"/>
      <c r="K9" s="343"/>
      <c r="L9" s="343"/>
      <c r="M9" s="343"/>
      <c r="U9" s="344"/>
      <c r="V9" s="344"/>
      <c r="W9" s="344"/>
    </row>
    <row r="10" spans="1:31" ht="20.100000000000001" customHeight="1">
      <c r="A10" s="1084"/>
      <c r="B10" s="266" t="s">
        <v>1418</v>
      </c>
      <c r="C10" s="430">
        <v>973</v>
      </c>
      <c r="D10" s="288" t="s">
        <v>1417</v>
      </c>
      <c r="F10" s="343"/>
      <c r="G10" s="343"/>
      <c r="H10" s="343"/>
      <c r="I10" s="343"/>
      <c r="J10" s="343"/>
      <c r="K10" s="343"/>
      <c r="L10" s="343"/>
      <c r="M10" s="343"/>
      <c r="O10" s="343"/>
    </row>
    <row r="11" spans="1:31" ht="20.100000000000001" customHeight="1">
      <c r="A11" s="1081" t="s">
        <v>1453</v>
      </c>
      <c r="B11" s="266" t="s">
        <v>1393</v>
      </c>
      <c r="C11" s="284">
        <f>C10/400/SQRT((10*C7+0.102)*(10*C8))</f>
        <v>1.0769179648508165</v>
      </c>
      <c r="D11" s="1218" t="s">
        <v>1400</v>
      </c>
      <c r="F11" s="343"/>
      <c r="G11" s="343"/>
      <c r="H11" s="343"/>
      <c r="I11" s="343"/>
      <c r="J11" s="343"/>
      <c r="K11" s="343"/>
      <c r="L11" s="343"/>
      <c r="M11" s="343"/>
    </row>
    <row r="12" spans="1:31" ht="20.100000000000001" customHeight="1">
      <c r="A12" s="1082"/>
      <c r="B12" s="266" t="s">
        <v>1402</v>
      </c>
      <c r="C12" s="284">
        <f>18*C11</f>
        <v>19.384523367314696</v>
      </c>
      <c r="D12" s="1219"/>
      <c r="F12" s="343"/>
      <c r="G12" s="343"/>
      <c r="H12" s="343"/>
      <c r="I12" s="343"/>
      <c r="J12" s="343"/>
      <c r="K12" s="343"/>
      <c r="L12" s="343"/>
      <c r="M12" s="343"/>
      <c r="AA12" s="343"/>
    </row>
    <row r="13" spans="1:31" ht="20.100000000000001" customHeight="1">
      <c r="A13" s="1082"/>
      <c r="B13" s="266" t="s">
        <v>1452</v>
      </c>
      <c r="C13" s="379">
        <f>SQRT(4*C12/PI())</f>
        <v>4.9680118465144476</v>
      </c>
      <c r="D13" s="1219"/>
      <c r="F13" s="343"/>
      <c r="G13" s="343"/>
      <c r="H13" s="343"/>
      <c r="I13" s="343"/>
      <c r="J13" s="343"/>
      <c r="K13" s="343"/>
      <c r="L13" s="343"/>
      <c r="M13" s="343"/>
      <c r="AA13" s="343"/>
    </row>
    <row r="14" spans="1:31" ht="20.100000000000001" customHeight="1">
      <c r="A14" s="1082"/>
      <c r="B14" s="266" t="s">
        <v>1413</v>
      </c>
      <c r="C14" s="403"/>
      <c r="D14" s="1219"/>
      <c r="F14" s="333"/>
      <c r="G14" s="343"/>
      <c r="H14" s="343"/>
      <c r="I14" s="343"/>
      <c r="J14" s="343"/>
      <c r="K14" s="343"/>
      <c r="L14" s="343"/>
      <c r="M14" s="343"/>
      <c r="AA14" s="343"/>
    </row>
    <row r="15" spans="1:31" ht="20.100000000000001" customHeight="1">
      <c r="A15" s="1083"/>
      <c r="B15" s="266" t="s">
        <v>1414</v>
      </c>
      <c r="C15" s="403"/>
      <c r="D15" s="1220"/>
      <c r="F15" s="343"/>
      <c r="G15" s="343"/>
      <c r="H15" s="343"/>
      <c r="I15" s="343"/>
      <c r="J15" s="343"/>
      <c r="K15" s="343"/>
      <c r="L15" s="343"/>
      <c r="M15" s="343"/>
      <c r="AA15" s="343"/>
    </row>
    <row r="16" spans="1:31" ht="20.100000000000001" customHeight="1">
      <c r="A16" s="1081" t="s">
        <v>1449</v>
      </c>
      <c r="B16" s="266" t="s">
        <v>1415</v>
      </c>
      <c r="C16" s="326">
        <v>0.8</v>
      </c>
      <c r="D16" s="425"/>
      <c r="F16" s="343"/>
      <c r="G16" s="343"/>
      <c r="H16" s="343"/>
      <c r="I16" s="343"/>
      <c r="J16" s="343"/>
      <c r="K16" s="343"/>
      <c r="L16" s="343"/>
      <c r="M16" s="343"/>
      <c r="AA16" s="343"/>
    </row>
    <row r="17" spans="1:29" ht="20.100000000000001" customHeight="1">
      <c r="A17" s="1082"/>
      <c r="B17" s="266" t="s">
        <v>1424</v>
      </c>
      <c r="C17" s="267">
        <f>C6</f>
        <v>0.6</v>
      </c>
      <c r="D17" s="426" t="s">
        <v>1425</v>
      </c>
      <c r="F17" s="343"/>
      <c r="G17" s="343"/>
      <c r="H17" s="343"/>
      <c r="I17" s="343"/>
      <c r="J17" s="343"/>
      <c r="K17" s="343"/>
      <c r="L17" s="343"/>
      <c r="M17" s="343"/>
      <c r="AA17" s="343"/>
    </row>
    <row r="18" spans="1:29" ht="20.100000000000001" customHeight="1">
      <c r="A18" s="1082"/>
      <c r="B18" s="266" t="s">
        <v>1419</v>
      </c>
      <c r="C18" s="427">
        <f>C10*(0.7+0.1)/(C16+0.1)/0.75</f>
        <v>1153.185185185185</v>
      </c>
      <c r="D18" s="428" t="s">
        <v>1427</v>
      </c>
      <c r="F18" s="343"/>
      <c r="G18" s="343"/>
      <c r="H18" s="343"/>
      <c r="I18" s="343"/>
      <c r="J18" s="343"/>
      <c r="K18" s="343"/>
      <c r="L18" s="343"/>
      <c r="M18" s="343"/>
      <c r="AC18" s="343"/>
    </row>
    <row r="19" spans="1:29" ht="20.100000000000001" customHeight="1">
      <c r="A19" s="1082"/>
      <c r="B19" s="345" t="s">
        <v>1450</v>
      </c>
      <c r="C19" s="427"/>
      <c r="D19" s="429" t="s">
        <v>1421</v>
      </c>
      <c r="F19" s="343"/>
      <c r="G19" s="343"/>
      <c r="H19" s="343"/>
      <c r="I19" s="343"/>
      <c r="J19" s="343"/>
      <c r="K19" s="343"/>
      <c r="L19" s="343"/>
      <c r="M19" s="343"/>
      <c r="AC19" s="343"/>
    </row>
    <row r="20" spans="1:29" ht="20.100000000000001" customHeight="1">
      <c r="A20" s="1083"/>
      <c r="B20" s="345" t="s">
        <v>1420</v>
      </c>
      <c r="C20" s="403" t="s">
        <v>1426</v>
      </c>
      <c r="D20" s="426" t="s">
        <v>1421</v>
      </c>
      <c r="F20" s="343"/>
      <c r="G20" s="343"/>
      <c r="H20" s="343"/>
      <c r="I20" s="343"/>
      <c r="J20" s="343"/>
      <c r="K20" s="343"/>
      <c r="L20" s="343"/>
      <c r="M20" s="343"/>
      <c r="AC20" s="343"/>
    </row>
    <row r="21" spans="1:29" ht="20.100000000000001" customHeight="1">
      <c r="A21" s="1081" t="s">
        <v>1423</v>
      </c>
      <c r="B21" s="266" t="s">
        <v>1403</v>
      </c>
      <c r="C21" s="431">
        <v>60</v>
      </c>
      <c r="D21" s="266" t="str">
        <f>C21/10&amp;"cm"</f>
        <v>6cm</v>
      </c>
      <c r="F21" s="343"/>
      <c r="G21" s="343"/>
      <c r="H21" s="343"/>
      <c r="I21" s="343"/>
      <c r="J21" s="343"/>
      <c r="K21" s="343"/>
      <c r="L21" s="343"/>
      <c r="M21" s="343"/>
      <c r="AC21" s="343"/>
    </row>
    <row r="22" spans="1:29" ht="20.100000000000001" customHeight="1">
      <c r="A22" s="1082"/>
      <c r="B22" s="266" t="s">
        <v>1451</v>
      </c>
      <c r="C22" s="431">
        <v>100</v>
      </c>
      <c r="D22" s="266" t="str">
        <f>C22/10&amp;"cm"</f>
        <v>10cm</v>
      </c>
      <c r="F22" s="343" t="s">
        <v>1404</v>
      </c>
      <c r="G22" s="343"/>
      <c r="H22" s="343"/>
      <c r="I22" s="343"/>
      <c r="J22" s="343"/>
      <c r="K22" s="343"/>
      <c r="L22" s="343"/>
      <c r="M22" s="343"/>
      <c r="AC22" s="343"/>
    </row>
    <row r="23" spans="1:29" ht="20.100000000000001" customHeight="1">
      <c r="A23" s="1082"/>
      <c r="B23" s="266" t="s">
        <v>1394</v>
      </c>
      <c r="C23" s="431">
        <v>10</v>
      </c>
      <c r="D23" s="266" t="str">
        <f>C23/10&amp;"cm"</f>
        <v>1cm</v>
      </c>
      <c r="F23" s="343"/>
      <c r="G23" s="343"/>
      <c r="H23" s="343"/>
      <c r="I23" s="343"/>
      <c r="J23" s="343"/>
      <c r="K23" s="343"/>
      <c r="L23" s="343"/>
      <c r="M23" s="343"/>
      <c r="AC23" s="343"/>
    </row>
    <row r="24" spans="1:29" ht="20.100000000000001" customHeight="1">
      <c r="A24" s="1082"/>
      <c r="B24" s="266" t="s">
        <v>1395</v>
      </c>
      <c r="C24" s="431">
        <v>60</v>
      </c>
      <c r="D24" s="266" t="str">
        <f>C24/10&amp;"cm"</f>
        <v>6cm</v>
      </c>
      <c r="F24" s="343"/>
      <c r="G24" s="343"/>
      <c r="H24" s="343"/>
      <c r="I24" s="343"/>
      <c r="J24" s="343"/>
      <c r="K24" s="343"/>
      <c r="L24" s="343"/>
      <c r="M24" s="343"/>
      <c r="AC24" s="343"/>
    </row>
    <row r="25" spans="1:29" ht="20.100000000000001" customHeight="1">
      <c r="A25" s="1082"/>
      <c r="B25" s="266" t="s">
        <v>1396</v>
      </c>
      <c r="C25" s="284">
        <f>0.0157*((C4/10)^2*C22/10+(C23/10)^2*C24/10)*C21*(C6+0.102)</f>
        <v>665.2517039999999</v>
      </c>
      <c r="D25" s="345" t="s">
        <v>1429</v>
      </c>
      <c r="F25" s="343"/>
      <c r="G25" s="343"/>
      <c r="H25" s="343"/>
      <c r="I25" s="343"/>
      <c r="J25" s="343"/>
      <c r="K25" s="343"/>
      <c r="L25" s="343"/>
      <c r="M25" s="343"/>
      <c r="AB25" s="343"/>
    </row>
    <row r="26" spans="1:29" ht="20.100000000000001" customHeight="1">
      <c r="A26" s="1083"/>
      <c r="B26" s="266" t="s">
        <v>1430</v>
      </c>
      <c r="C26" s="432"/>
      <c r="D26" s="345" t="s">
        <v>1397</v>
      </c>
      <c r="F26" s="343"/>
      <c r="G26" s="343"/>
      <c r="H26" s="343"/>
      <c r="I26" s="343"/>
      <c r="J26" s="343"/>
      <c r="K26" s="343"/>
      <c r="L26" s="343"/>
      <c r="M26" s="343"/>
      <c r="AB26" s="343"/>
    </row>
    <row r="27" spans="1:29" ht="20.100000000000001" customHeight="1">
      <c r="F27" s="343"/>
      <c r="G27" s="343"/>
      <c r="H27" s="343"/>
      <c r="I27" s="343"/>
      <c r="J27" s="343"/>
      <c r="K27" s="343"/>
      <c r="L27" s="343"/>
      <c r="M27" s="343"/>
      <c r="AB27" s="343"/>
    </row>
    <row r="28" spans="1:29" ht="20.100000000000001" customHeight="1">
      <c r="A28" s="1279" t="s">
        <v>1454</v>
      </c>
      <c r="B28" s="1279"/>
      <c r="C28" s="1279"/>
      <c r="D28" s="1279"/>
      <c r="F28" s="343"/>
      <c r="G28" s="343"/>
      <c r="H28" s="343"/>
      <c r="I28" s="343"/>
      <c r="J28" s="343"/>
      <c r="K28" s="343"/>
      <c r="L28" s="343"/>
      <c r="M28" s="343"/>
      <c r="AB28" s="343"/>
    </row>
    <row r="29" spans="1:29" ht="20.100000000000001" customHeight="1">
      <c r="A29" s="1280"/>
      <c r="B29" s="1280"/>
      <c r="C29" s="1280"/>
      <c r="D29" s="1280"/>
      <c r="F29" s="343"/>
      <c r="G29" s="343"/>
      <c r="H29" s="343"/>
      <c r="I29" s="343"/>
      <c r="J29" s="343"/>
      <c r="K29" s="343"/>
      <c r="L29" s="343"/>
      <c r="M29" s="343"/>
      <c r="AB29" s="343"/>
    </row>
    <row r="30" spans="1:29" ht="20.100000000000001" customHeight="1">
      <c r="A30" s="1280"/>
      <c r="B30" s="1280"/>
      <c r="C30" s="1280"/>
      <c r="D30" s="1280"/>
      <c r="F30" s="343"/>
      <c r="G30" s="343"/>
      <c r="H30" s="343"/>
      <c r="I30" s="343"/>
      <c r="J30" s="343"/>
      <c r="K30" s="343"/>
      <c r="L30" s="343"/>
      <c r="M30" s="343"/>
      <c r="P30" s="368"/>
      <c r="AB30" s="343"/>
    </row>
    <row r="31" spans="1:29" ht="20.100000000000001" customHeight="1">
      <c r="A31" s="1280"/>
      <c r="B31" s="1280"/>
      <c r="C31" s="1280"/>
      <c r="D31" s="1280"/>
      <c r="F31" s="343"/>
      <c r="G31" s="343"/>
      <c r="H31" s="343"/>
      <c r="I31" s="343"/>
      <c r="J31" s="343"/>
      <c r="K31" s="343"/>
      <c r="L31" s="343"/>
      <c r="M31" s="343"/>
      <c r="P31" s="368"/>
      <c r="AB31" s="343"/>
    </row>
    <row r="32" spans="1:29" ht="20.100000000000001" customHeight="1">
      <c r="A32" s="1280"/>
      <c r="B32" s="1280"/>
      <c r="C32" s="1280"/>
      <c r="D32" s="1280"/>
      <c r="F32" s="343"/>
      <c r="G32" s="343"/>
      <c r="H32" s="343"/>
      <c r="I32" s="343"/>
      <c r="J32" s="343"/>
      <c r="K32" s="343"/>
      <c r="L32" s="343"/>
      <c r="M32" s="343"/>
      <c r="P32" s="368"/>
      <c r="AB32" s="343"/>
    </row>
    <row r="33" spans="1:29" ht="20.100000000000001" customHeight="1">
      <c r="A33" s="1280"/>
      <c r="B33" s="1280"/>
      <c r="C33" s="1280"/>
      <c r="D33" s="1280"/>
      <c r="F33" s="343"/>
      <c r="G33" s="343"/>
      <c r="H33" s="343"/>
      <c r="K33" s="368"/>
      <c r="AC33" s="343"/>
    </row>
    <row r="34" spans="1:29" ht="20.100000000000001" customHeight="1">
      <c r="A34" s="1280"/>
      <c r="B34" s="1280"/>
      <c r="C34" s="1280"/>
      <c r="D34" s="1280"/>
      <c r="F34" s="343"/>
      <c r="G34" s="343"/>
      <c r="H34" s="343"/>
      <c r="K34" s="368"/>
      <c r="AC34" s="343"/>
    </row>
    <row r="35" spans="1:29" ht="20.100000000000001" customHeight="1">
      <c r="A35" s="1280"/>
      <c r="B35" s="1280"/>
      <c r="C35" s="1280"/>
      <c r="D35" s="1280"/>
      <c r="F35" s="343"/>
      <c r="G35" s="343"/>
      <c r="H35" s="343"/>
      <c r="K35" s="368"/>
      <c r="AC35" s="343"/>
    </row>
    <row r="36" spans="1:29" ht="20.100000000000001" customHeight="1">
      <c r="A36" s="1280"/>
      <c r="B36" s="1280"/>
      <c r="C36" s="1280"/>
      <c r="D36" s="1280"/>
      <c r="F36" s="343"/>
      <c r="G36" s="343"/>
      <c r="H36" s="343"/>
      <c r="I36" s="343"/>
      <c r="J36" s="343"/>
      <c r="K36" s="343"/>
      <c r="L36" s="343"/>
      <c r="M36" s="343"/>
      <c r="AC36" s="343"/>
    </row>
    <row r="37" spans="1:29" ht="20.100000000000001" customHeight="1">
      <c r="A37" s="1280"/>
      <c r="B37" s="1280"/>
      <c r="C37" s="1280"/>
      <c r="D37" s="1280"/>
      <c r="F37" s="343"/>
      <c r="G37" s="343"/>
      <c r="H37" s="343"/>
      <c r="I37" s="343"/>
      <c r="J37" s="343"/>
      <c r="K37" s="343"/>
      <c r="L37" s="343"/>
      <c r="M37" s="343"/>
      <c r="AC37" s="343"/>
    </row>
    <row r="38" spans="1:29" ht="20.100000000000001" customHeight="1">
      <c r="A38" s="1280"/>
      <c r="B38" s="1280"/>
      <c r="C38" s="1280"/>
      <c r="D38" s="1280"/>
      <c r="F38" s="343"/>
      <c r="G38" s="343"/>
      <c r="H38" s="343"/>
      <c r="I38" s="343"/>
      <c r="J38" s="343"/>
      <c r="K38" s="343"/>
      <c r="L38" s="343"/>
      <c r="M38" s="343"/>
      <c r="AC38" s="343"/>
    </row>
    <row r="39" spans="1:29" ht="20.100000000000001" customHeight="1">
      <c r="A39" s="1280"/>
      <c r="B39" s="1280"/>
      <c r="C39" s="1280"/>
      <c r="D39" s="1280"/>
      <c r="F39" s="343"/>
      <c r="G39" s="343"/>
      <c r="H39" s="343"/>
      <c r="I39" s="343"/>
      <c r="J39" s="343"/>
      <c r="K39" s="343"/>
      <c r="L39" s="343"/>
      <c r="M39" s="343"/>
      <c r="AC39" s="343"/>
    </row>
    <row r="40" spans="1:29" ht="20.100000000000001" customHeight="1">
      <c r="A40" s="1280"/>
      <c r="B40" s="1280"/>
      <c r="C40" s="1280"/>
      <c r="D40" s="1280"/>
      <c r="F40" s="343"/>
      <c r="G40" s="343"/>
      <c r="H40" s="343"/>
      <c r="I40" s="343"/>
      <c r="J40" s="343"/>
      <c r="K40" s="343"/>
      <c r="L40" s="343"/>
      <c r="M40" s="343"/>
      <c r="X40" s="343"/>
      <c r="AC40" s="343"/>
    </row>
    <row r="41" spans="1:29" ht="20.100000000000001" customHeight="1">
      <c r="A41" s="1280"/>
      <c r="B41" s="1280"/>
      <c r="C41" s="1280"/>
      <c r="D41" s="1280"/>
      <c r="F41" s="343"/>
      <c r="G41" s="343"/>
      <c r="H41" s="343"/>
      <c r="I41" s="343"/>
      <c r="J41" s="343"/>
      <c r="K41" s="343"/>
      <c r="L41" s="343"/>
      <c r="M41" s="343"/>
      <c r="X41" s="343"/>
      <c r="AC41" s="343"/>
    </row>
    <row r="42" spans="1:29" ht="20.100000000000001" customHeight="1">
      <c r="A42" s="1280"/>
      <c r="B42" s="1280"/>
      <c r="C42" s="1280"/>
      <c r="D42" s="1280"/>
      <c r="F42" s="343"/>
      <c r="G42" s="343"/>
      <c r="H42" s="343"/>
      <c r="I42" s="343"/>
      <c r="J42" s="343"/>
      <c r="K42" s="343"/>
      <c r="L42" s="343"/>
      <c r="M42" s="343"/>
      <c r="X42" s="343"/>
      <c r="AC42" s="343"/>
    </row>
    <row r="43" spans="1:29" ht="20.100000000000001" customHeight="1">
      <c r="A43" s="1281"/>
      <c r="B43" s="1281"/>
      <c r="C43" s="1281"/>
      <c r="D43" s="1281"/>
      <c r="F43" s="343"/>
      <c r="G43" s="343"/>
      <c r="H43" s="343"/>
      <c r="I43" s="343"/>
      <c r="J43" s="343"/>
      <c r="K43" s="343"/>
      <c r="L43" s="343"/>
      <c r="M43" s="343"/>
      <c r="AC43" s="343"/>
    </row>
    <row r="44" spans="1:29" ht="20.100000000000001" customHeight="1">
      <c r="A44" s="1282" t="s">
        <v>1428</v>
      </c>
      <c r="B44" s="1283"/>
      <c r="C44" s="1283"/>
      <c r="D44" s="1284"/>
      <c r="F44" s="343" t="s">
        <v>1447</v>
      </c>
      <c r="G44" s="343"/>
      <c r="H44" s="343"/>
      <c r="I44" s="343"/>
      <c r="J44" s="343"/>
      <c r="K44" s="343"/>
      <c r="L44" s="343"/>
      <c r="M44" s="343"/>
      <c r="AC44" s="343"/>
    </row>
    <row r="45" spans="1:29" ht="20.100000000000001" customHeight="1">
      <c r="A45" s="1285"/>
      <c r="B45" s="1272"/>
      <c r="C45" s="1272"/>
      <c r="D45" s="1286"/>
      <c r="F45" s="343"/>
      <c r="G45" s="343"/>
      <c r="H45" s="343"/>
      <c r="I45" s="343"/>
      <c r="J45" s="343"/>
      <c r="K45" s="343"/>
      <c r="L45" s="343"/>
      <c r="M45" s="343"/>
      <c r="AC45" s="343"/>
    </row>
    <row r="46" spans="1:29" ht="20.100000000000001" customHeight="1">
      <c r="A46" s="1285"/>
      <c r="B46" s="1272"/>
      <c r="C46" s="1272"/>
      <c r="D46" s="1286"/>
      <c r="F46" s="343"/>
      <c r="G46" s="343"/>
      <c r="H46" s="343"/>
      <c r="I46" s="343"/>
      <c r="J46" s="343"/>
      <c r="K46" s="343"/>
      <c r="L46" s="343"/>
      <c r="M46" s="343"/>
    </row>
    <row r="47" spans="1:29" ht="20.100000000000001" customHeight="1">
      <c r="A47" s="1287"/>
      <c r="B47" s="1273"/>
      <c r="C47" s="1273"/>
      <c r="D47" s="1288"/>
      <c r="F47" s="343"/>
      <c r="G47" s="343"/>
      <c r="H47" s="343"/>
      <c r="I47" s="343"/>
      <c r="J47" s="343"/>
      <c r="K47" s="343"/>
      <c r="L47" s="343"/>
      <c r="M47" s="343"/>
    </row>
    <row r="48" spans="1:29" ht="20.100000000000001" customHeight="1">
      <c r="A48" s="333" t="s">
        <v>1412</v>
      </c>
      <c r="F48" s="343"/>
      <c r="G48" s="343"/>
      <c r="H48" s="343"/>
      <c r="I48" s="343"/>
      <c r="J48" s="343"/>
      <c r="K48" s="343"/>
      <c r="L48" s="343"/>
      <c r="M48" s="343"/>
    </row>
    <row r="49" spans="6:29" ht="20.100000000000001" customHeight="1">
      <c r="F49" s="343"/>
      <c r="G49" s="343"/>
      <c r="H49" s="343"/>
      <c r="I49" s="343"/>
      <c r="J49" s="343"/>
      <c r="K49" s="343"/>
      <c r="L49" s="343"/>
      <c r="M49" s="343"/>
      <c r="AC49" s="343"/>
    </row>
    <row r="50" spans="6:29" ht="20.100000000000001" customHeight="1">
      <c r="J50" s="343"/>
      <c r="K50" s="343"/>
      <c r="L50" s="343"/>
      <c r="M50" s="343"/>
      <c r="AC50" s="343"/>
    </row>
    <row r="51" spans="6:29" ht="20.100000000000001" customHeight="1">
      <c r="J51" s="343"/>
      <c r="K51" s="343"/>
      <c r="L51" s="343"/>
      <c r="M51" s="343"/>
      <c r="AC51" s="343"/>
    </row>
    <row r="52" spans="6:29" ht="20.100000000000001" customHeight="1">
      <c r="J52" s="343"/>
      <c r="K52" s="343"/>
      <c r="L52" s="343"/>
      <c r="M52" s="343"/>
      <c r="AC52" s="343"/>
    </row>
    <row r="53" spans="6:29" ht="20.100000000000001" customHeight="1">
      <c r="J53" s="343"/>
      <c r="K53" s="343"/>
      <c r="L53" s="343"/>
      <c r="M53" s="343"/>
      <c r="AC53" s="343"/>
    </row>
    <row r="54" spans="6:29" ht="20.100000000000001" customHeight="1">
      <c r="F54" s="343"/>
      <c r="G54" s="343"/>
      <c r="H54" s="343"/>
      <c r="I54" s="343"/>
      <c r="J54" s="343"/>
      <c r="K54" s="343"/>
      <c r="L54" s="343"/>
      <c r="M54" s="343"/>
      <c r="AC54" s="343"/>
    </row>
    <row r="55" spans="6:29" ht="20.100000000000001" customHeight="1">
      <c r="F55" s="343"/>
      <c r="G55" s="343"/>
      <c r="H55" s="343"/>
      <c r="I55" s="343"/>
      <c r="J55" s="343"/>
      <c r="K55" s="343"/>
      <c r="L55" s="343"/>
      <c r="M55" s="343"/>
      <c r="AC55" s="343"/>
    </row>
    <row r="56" spans="6:29" ht="20.100000000000001" customHeight="1">
      <c r="F56" s="343"/>
      <c r="G56" s="343"/>
      <c r="H56" s="343"/>
      <c r="I56" s="343"/>
      <c r="J56" s="343"/>
      <c r="K56" s="343"/>
      <c r="AC56" s="343"/>
    </row>
    <row r="57" spans="6:29" ht="20.100000000000001" customHeight="1">
      <c r="F57" s="343"/>
      <c r="G57" s="343"/>
      <c r="H57" s="343"/>
      <c r="I57" s="343"/>
      <c r="J57" s="343"/>
      <c r="K57" s="343"/>
      <c r="AC57" s="343"/>
    </row>
    <row r="58" spans="6:29" ht="20.100000000000001" customHeight="1">
      <c r="F58" s="343" t="s">
        <v>1448</v>
      </c>
      <c r="G58" s="343"/>
      <c r="H58" s="343"/>
      <c r="I58" s="343"/>
      <c r="J58" s="343"/>
      <c r="K58" s="343"/>
      <c r="AC58" s="343"/>
    </row>
    <row r="59" spans="6:29" ht="20.100000000000001" customHeight="1">
      <c r="K59" s="343"/>
      <c r="AC59" s="343"/>
    </row>
    <row r="60" spans="6:29" ht="20.100000000000001" customHeight="1">
      <c r="AC60" s="343"/>
    </row>
    <row r="61" spans="6:29" ht="20.100000000000001" customHeight="1">
      <c r="AC61" s="343"/>
    </row>
    <row r="62" spans="6:29" ht="20.100000000000001" customHeight="1">
      <c r="AC62" s="343"/>
    </row>
    <row r="63" spans="6:29" ht="20.100000000000001" customHeight="1">
      <c r="AC63" s="343"/>
    </row>
    <row r="64" spans="6:29" ht="20.100000000000001" customHeight="1">
      <c r="AC64" s="343"/>
    </row>
    <row r="65" spans="29:29" ht="20.100000000000001" customHeight="1">
      <c r="AC65" s="343"/>
    </row>
    <row r="66" spans="29:29" ht="20.100000000000001" customHeight="1">
      <c r="AC66" s="343"/>
    </row>
  </sheetData>
  <sheetProtection password="828E" sheet="1" objects="1" scenarios="1"/>
  <dataConsolidate/>
  <mergeCells count="9">
    <mergeCell ref="A28:D43"/>
    <mergeCell ref="A44:D47"/>
    <mergeCell ref="A21:A26"/>
    <mergeCell ref="A16:A20"/>
    <mergeCell ref="A1:D1"/>
    <mergeCell ref="A4:A7"/>
    <mergeCell ref="A8:A10"/>
    <mergeCell ref="D11:D15"/>
    <mergeCell ref="A11:A15"/>
  </mergeCells>
  <phoneticPr fontId="4"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sheetPr codeName="Sheet20"/>
  <dimension ref="A1:AE66"/>
  <sheetViews>
    <sheetView workbookViewId="0">
      <selection activeCell="M19" sqref="M19"/>
    </sheetView>
  </sheetViews>
  <sheetFormatPr defaultColWidth="15.625" defaultRowHeight="20.100000000000001" customHeight="1"/>
  <cols>
    <col min="1" max="1" width="13.375" style="262" customWidth="1"/>
    <col min="2" max="2" width="20" style="262" customWidth="1"/>
    <col min="3" max="3" width="13.875" style="263" customWidth="1"/>
    <col min="4" max="4" width="17.5" style="262" customWidth="1"/>
    <col min="5" max="5" width="5" style="262" customWidth="1"/>
    <col min="6" max="10" width="10.625" style="262" customWidth="1"/>
    <col min="11" max="11" width="8.875" style="262" customWidth="1"/>
    <col min="12" max="12" width="7.62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ht="21.95" customHeight="1">
      <c r="A1" s="775" t="s">
        <v>2771</v>
      </c>
      <c r="B1" s="776"/>
      <c r="C1" s="776"/>
      <c r="D1" s="776"/>
      <c r="F1" s="399" t="s">
        <v>1458</v>
      </c>
      <c r="G1" s="343"/>
      <c r="H1" s="343"/>
    </row>
    <row r="2" spans="1:31" ht="20.100000000000001" customHeight="1">
      <c r="A2" s="333" t="s">
        <v>1492</v>
      </c>
      <c r="F2" s="343"/>
      <c r="G2" s="343"/>
      <c r="H2" s="343"/>
      <c r="R2" s="344"/>
      <c r="S2" s="344"/>
      <c r="T2" s="344"/>
      <c r="V2" s="342"/>
      <c r="W2" s="342"/>
      <c r="X2" s="342"/>
      <c r="Y2" s="342"/>
      <c r="Z2" s="342"/>
      <c r="AA2" s="342"/>
      <c r="AB2" s="342"/>
      <c r="AC2" s="342"/>
      <c r="AD2" s="342"/>
    </row>
    <row r="3" spans="1:31" ht="20.100000000000001" customHeight="1">
      <c r="A3" s="266" t="s">
        <v>753</v>
      </c>
      <c r="B3" s="266" t="s">
        <v>754</v>
      </c>
      <c r="C3" s="267" t="s">
        <v>755</v>
      </c>
      <c r="D3" s="266" t="s">
        <v>762</v>
      </c>
      <c r="F3" s="343"/>
      <c r="G3" s="343"/>
      <c r="H3" s="343"/>
      <c r="T3" s="344"/>
      <c r="V3" s="342"/>
      <c r="W3" s="342"/>
      <c r="X3" s="342"/>
      <c r="Y3" s="342"/>
      <c r="Z3" s="342"/>
      <c r="AA3" s="342"/>
      <c r="AB3" s="342"/>
      <c r="AC3" s="342"/>
      <c r="AD3" s="342"/>
    </row>
    <row r="4" spans="1:31" ht="20.100000000000001" customHeight="1">
      <c r="A4" s="1218" t="s">
        <v>756</v>
      </c>
      <c r="B4" s="345" t="s">
        <v>1457</v>
      </c>
      <c r="C4" s="369" t="s">
        <v>1459</v>
      </c>
      <c r="D4" s="334">
        <f>IF(C4="上表面",4,IF(C4="垂直面",8,请选择吸附方式))</f>
        <v>4</v>
      </c>
      <c r="F4" s="343"/>
      <c r="G4" s="343"/>
      <c r="H4" s="343"/>
      <c r="T4" s="344"/>
      <c r="W4" s="343"/>
      <c r="X4" s="343"/>
      <c r="Y4" s="343"/>
      <c r="Z4" s="343"/>
      <c r="AA4" s="343"/>
      <c r="AB4" s="343"/>
      <c r="AC4" s="343"/>
      <c r="AD4" s="343"/>
    </row>
    <row r="5" spans="1:31" ht="20.100000000000001" customHeight="1">
      <c r="A5" s="1219"/>
      <c r="B5" s="266" t="s">
        <v>1456</v>
      </c>
      <c r="C5" s="326">
        <v>20</v>
      </c>
      <c r="D5" s="266" t="str">
        <f>C5*9.8&amp;"kg"</f>
        <v>196kg</v>
      </c>
      <c r="F5" s="343"/>
      <c r="G5" s="343"/>
      <c r="H5" s="343"/>
      <c r="T5" s="344"/>
      <c r="W5" s="344"/>
      <c r="X5" s="344"/>
      <c r="Y5" s="344"/>
      <c r="Z5" s="344"/>
      <c r="AA5" s="344"/>
      <c r="AB5" s="344"/>
      <c r="AC5" s="344"/>
      <c r="AD5" s="344"/>
      <c r="AE5" s="343"/>
    </row>
    <row r="6" spans="1:31" ht="20.100000000000001" customHeight="1">
      <c r="A6" s="1219"/>
      <c r="B6" s="266" t="s">
        <v>1394</v>
      </c>
      <c r="C6" s="326">
        <v>2.5</v>
      </c>
      <c r="D6" s="345" t="s">
        <v>1460</v>
      </c>
      <c r="G6" s="343"/>
      <c r="H6" s="343"/>
      <c r="T6" s="344"/>
      <c r="W6" s="344"/>
      <c r="X6" s="344"/>
      <c r="Y6" s="344"/>
      <c r="Z6" s="344"/>
      <c r="AE6" s="344"/>
    </row>
    <row r="7" spans="1:31" ht="20.100000000000001" customHeight="1">
      <c r="A7" s="1219"/>
      <c r="B7" s="266" t="s">
        <v>1395</v>
      </c>
      <c r="C7" s="326">
        <v>1000</v>
      </c>
      <c r="D7" s="266"/>
      <c r="F7" s="343"/>
      <c r="G7" s="343"/>
      <c r="H7" s="343"/>
      <c r="U7" s="344"/>
      <c r="V7" s="344"/>
      <c r="W7" s="344"/>
      <c r="X7" s="344"/>
      <c r="Y7" s="344"/>
      <c r="Z7" s="344"/>
      <c r="AA7" s="344"/>
      <c r="AB7" s="344"/>
      <c r="AC7" s="344"/>
    </row>
    <row r="8" spans="1:31" ht="20.100000000000001" customHeight="1">
      <c r="A8" s="1219"/>
      <c r="B8" s="266" t="s">
        <v>1461</v>
      </c>
      <c r="C8" s="326">
        <v>6</v>
      </c>
      <c r="D8" s="266"/>
      <c r="F8" s="399" t="s">
        <v>1491</v>
      </c>
      <c r="G8" s="343"/>
      <c r="H8" s="343"/>
      <c r="I8" s="343"/>
      <c r="J8" s="343"/>
      <c r="K8" s="343"/>
      <c r="L8" s="343"/>
      <c r="M8" s="343"/>
      <c r="V8" s="344"/>
      <c r="W8" s="344"/>
      <c r="X8" s="344"/>
      <c r="Y8" s="344"/>
      <c r="Z8" s="344"/>
      <c r="AA8" s="344"/>
      <c r="AB8" s="344"/>
      <c r="AC8" s="344"/>
      <c r="AD8" s="344"/>
    </row>
    <row r="9" spans="1:31" ht="20.100000000000001" customHeight="1">
      <c r="A9" s="1219"/>
      <c r="B9" s="266" t="s">
        <v>1472</v>
      </c>
      <c r="C9" s="326">
        <v>80</v>
      </c>
      <c r="D9" s="266" t="s">
        <v>1511</v>
      </c>
      <c r="F9" s="343"/>
      <c r="G9" s="343"/>
      <c r="H9" s="343"/>
      <c r="I9" s="343"/>
      <c r="J9" s="343"/>
      <c r="K9" s="343"/>
      <c r="L9" s="343"/>
      <c r="M9" s="343"/>
      <c r="U9" s="344"/>
      <c r="V9" s="344"/>
      <c r="W9" s="344"/>
    </row>
    <row r="10" spans="1:31" ht="20.100000000000001" customHeight="1">
      <c r="A10" s="1220"/>
      <c r="B10" s="266" t="s">
        <v>1512</v>
      </c>
      <c r="C10" s="326">
        <v>0.9</v>
      </c>
      <c r="D10" s="266" t="s">
        <v>1513</v>
      </c>
      <c r="F10" s="343"/>
      <c r="G10" s="343"/>
      <c r="H10" s="343"/>
      <c r="I10" s="343"/>
      <c r="J10" s="343"/>
      <c r="K10" s="343"/>
      <c r="L10" s="343"/>
      <c r="M10" s="343"/>
      <c r="O10" s="343"/>
    </row>
    <row r="11" spans="1:31" ht="20.100000000000001" customHeight="1">
      <c r="A11" s="1291" t="s">
        <v>1466</v>
      </c>
      <c r="B11" s="266" t="s">
        <v>1462</v>
      </c>
      <c r="C11" s="379">
        <f>10*9.8*C5*D4/(C9*C10)*100</f>
        <v>10888.888888888889</v>
      </c>
      <c r="D11" s="266"/>
      <c r="F11" s="343"/>
      <c r="G11" s="343"/>
      <c r="H11" s="343"/>
      <c r="I11" s="343"/>
      <c r="J11" s="343"/>
      <c r="K11" s="343"/>
      <c r="L11" s="343"/>
      <c r="M11" s="343"/>
    </row>
    <row r="12" spans="1:31" ht="20.100000000000001" customHeight="1">
      <c r="A12" s="1291"/>
      <c r="B12" s="266" t="s">
        <v>1467</v>
      </c>
      <c r="C12" s="284">
        <f>SQRT(4*C11/C8/PI())</f>
        <v>48.069678473996923</v>
      </c>
      <c r="D12" s="266"/>
      <c r="F12" s="343"/>
      <c r="G12" s="343"/>
      <c r="H12" s="343"/>
      <c r="I12" s="343"/>
      <c r="J12" s="343"/>
      <c r="K12" s="343"/>
      <c r="L12" s="343"/>
      <c r="M12" s="343"/>
      <c r="AA12" s="343"/>
    </row>
    <row r="13" spans="1:31" ht="20.100000000000001" customHeight="1">
      <c r="A13" s="1291"/>
      <c r="B13" s="345" t="s">
        <v>1463</v>
      </c>
      <c r="C13" s="430"/>
      <c r="D13" s="345" t="s">
        <v>1464</v>
      </c>
      <c r="F13" s="343"/>
      <c r="G13" s="343"/>
      <c r="H13" s="343"/>
      <c r="I13" s="343"/>
      <c r="J13" s="343"/>
      <c r="K13" s="343"/>
      <c r="L13" s="343"/>
      <c r="M13" s="343"/>
      <c r="AA13" s="343"/>
    </row>
    <row r="14" spans="1:31" ht="20.100000000000001" customHeight="1">
      <c r="A14" s="1291" t="s">
        <v>1465</v>
      </c>
      <c r="B14" s="266" t="s">
        <v>1468</v>
      </c>
      <c r="C14" s="379" ph="1">
        <v>50</v>
      </c>
      <c r="D14" s="283"/>
      <c r="F14" s="333"/>
      <c r="G14" s="343"/>
      <c r="H14" s="343"/>
      <c r="I14" s="343"/>
      <c r="J14" s="343"/>
      <c r="K14" s="343"/>
      <c r="L14" s="343"/>
      <c r="M14" s="343"/>
      <c r="AA14" s="343"/>
    </row>
    <row r="15" spans="1:31" ht="20.100000000000001" customHeight="1">
      <c r="A15" s="1291"/>
      <c r="B15" s="266" t="s">
        <v>1480</v>
      </c>
      <c r="C15" s="400" ph="1">
        <v>1</v>
      </c>
      <c r="D15" s="433" t="s">
        <v>1490</v>
      </c>
      <c r="F15" s="343"/>
      <c r="G15" s="343"/>
      <c r="H15" s="343"/>
      <c r="I15" s="343"/>
      <c r="J15" s="343"/>
      <c r="K15" s="343"/>
      <c r="L15" s="343"/>
      <c r="M15" s="343"/>
      <c r="AA15" s="343"/>
    </row>
    <row r="16" spans="1:31" ht="20.100000000000001" customHeight="1">
      <c r="A16" s="1291"/>
      <c r="B16" s="266" t="s">
        <v>1469</v>
      </c>
      <c r="C16" s="434">
        <f>PI()*C6^2*C7/4/1000000</f>
        <v>4.9087385212340526E-3</v>
      </c>
      <c r="D16" s="283"/>
      <c r="F16" s="343"/>
      <c r="G16" s="343"/>
      <c r="H16" s="343"/>
      <c r="I16" s="343"/>
      <c r="J16" s="343"/>
      <c r="K16" s="343"/>
      <c r="L16" s="343"/>
      <c r="M16" s="343"/>
      <c r="AA16" s="343"/>
    </row>
    <row r="17" spans="1:29" ht="20.100000000000001" customHeight="1">
      <c r="A17" s="1291"/>
      <c r="B17" s="266" t="s">
        <v>1470</v>
      </c>
      <c r="C17" s="437">
        <v>1.6E-2</v>
      </c>
      <c r="D17" s="435" t="s">
        <v>1471</v>
      </c>
      <c r="F17" s="343"/>
      <c r="G17" s="343"/>
      <c r="H17" s="343"/>
      <c r="I17" s="343"/>
      <c r="J17" s="343"/>
      <c r="K17" s="343"/>
      <c r="L17" s="343"/>
      <c r="M17" s="343"/>
      <c r="AA17" s="343"/>
    </row>
    <row r="18" spans="1:29" ht="20.100000000000001" customHeight="1">
      <c r="A18" s="1291"/>
      <c r="B18" s="266" t="s">
        <v>1478</v>
      </c>
      <c r="C18" s="434">
        <f>C16+C17*C8</f>
        <v>0.10090873852123405</v>
      </c>
      <c r="D18" s="435"/>
      <c r="F18" s="343"/>
      <c r="G18" s="343"/>
      <c r="H18" s="343"/>
      <c r="I18" s="343"/>
      <c r="J18" s="343"/>
      <c r="K18" s="343"/>
      <c r="L18" s="343"/>
      <c r="M18" s="343"/>
      <c r="AC18" s="343"/>
    </row>
    <row r="19" spans="1:29" ht="20.100000000000001" customHeight="1">
      <c r="A19" s="1291"/>
      <c r="B19" s="266" t="s">
        <v>1473</v>
      </c>
      <c r="C19" s="434">
        <f>4000*9.8*C5*D4/(PI()*C14^2*C8)</f>
        <v>66.547986871491176</v>
      </c>
      <c r="D19" s="435"/>
      <c r="F19" s="343"/>
      <c r="G19" s="343"/>
      <c r="H19" s="343"/>
      <c r="I19" s="343"/>
      <c r="J19" s="343"/>
      <c r="K19" s="343"/>
      <c r="L19" s="343"/>
      <c r="M19" s="343"/>
      <c r="AC19" s="343"/>
    </row>
    <row r="20" spans="1:29" ht="20.100000000000001" customHeight="1">
      <c r="A20" s="1291"/>
      <c r="B20" s="266" t="s">
        <v>1475</v>
      </c>
      <c r="C20" s="326">
        <v>88</v>
      </c>
      <c r="D20" s="435" t="s">
        <v>1474</v>
      </c>
      <c r="F20" s="343" t="s">
        <v>1484</v>
      </c>
      <c r="G20" s="343"/>
      <c r="H20" s="343"/>
      <c r="I20" s="343"/>
      <c r="J20" s="343"/>
      <c r="K20" s="343"/>
      <c r="L20" s="343"/>
      <c r="M20" s="343"/>
      <c r="AC20" s="343"/>
    </row>
    <row r="21" spans="1:29" ht="20.100000000000001" customHeight="1">
      <c r="A21" s="1291"/>
      <c r="B21" s="266" t="s">
        <v>1476</v>
      </c>
      <c r="C21" s="326" t="str">
        <f>ROUND(C19/C20*100,2)&amp;"%"</f>
        <v>75.62%</v>
      </c>
      <c r="D21" s="435"/>
      <c r="F21" s="343"/>
      <c r="G21" s="343"/>
      <c r="H21" s="343"/>
      <c r="I21" s="343"/>
      <c r="J21" s="343"/>
      <c r="K21" s="343"/>
      <c r="L21" s="343"/>
      <c r="M21" s="343"/>
      <c r="AC21" s="343"/>
    </row>
    <row r="22" spans="1:29" ht="20.100000000000001" customHeight="1">
      <c r="A22" s="1291"/>
      <c r="B22" s="266" t="s">
        <v>1479</v>
      </c>
      <c r="C22" s="326">
        <v>1.4</v>
      </c>
      <c r="D22" s="435" t="s">
        <v>1477</v>
      </c>
      <c r="F22" s="343"/>
      <c r="G22" s="343"/>
      <c r="H22" s="343"/>
      <c r="I22" s="343"/>
      <c r="J22" s="343"/>
      <c r="K22" s="343"/>
      <c r="L22" s="343"/>
      <c r="M22" s="343"/>
      <c r="AC22" s="343"/>
    </row>
    <row r="23" spans="1:29" ht="20.100000000000001" customHeight="1">
      <c r="A23" s="1291"/>
      <c r="B23" s="266" t="s">
        <v>1481</v>
      </c>
      <c r="C23" s="331">
        <f>60*C18/(C15/C22)</f>
        <v>8.4763340357836601</v>
      </c>
      <c r="D23" s="1292" t="s">
        <v>1482</v>
      </c>
      <c r="F23" s="343"/>
      <c r="G23" s="343"/>
      <c r="H23" s="343"/>
      <c r="I23" s="343"/>
      <c r="J23" s="343"/>
      <c r="K23" s="343"/>
      <c r="L23" s="343"/>
      <c r="M23" s="343"/>
      <c r="AC23" s="343"/>
    </row>
    <row r="24" spans="1:29" ht="20.100000000000001" customHeight="1">
      <c r="A24" s="1291"/>
      <c r="B24" s="266" t="s">
        <v>1488</v>
      </c>
      <c r="C24" s="438">
        <f>C23*2</f>
        <v>16.95266807156732</v>
      </c>
      <c r="D24" s="1292"/>
      <c r="F24" s="343"/>
      <c r="G24" s="343"/>
      <c r="H24" s="343"/>
      <c r="I24" s="343"/>
      <c r="J24" s="343"/>
      <c r="K24" s="343"/>
      <c r="L24" s="343"/>
      <c r="M24" s="343"/>
      <c r="AC24" s="343"/>
    </row>
    <row r="25" spans="1:29" ht="20.100000000000001" customHeight="1">
      <c r="A25" s="1291"/>
      <c r="B25" s="266" t="s">
        <v>1485</v>
      </c>
      <c r="C25" s="339" t="s">
        <v>1486</v>
      </c>
      <c r="D25" s="435" t="s">
        <v>1483</v>
      </c>
      <c r="F25" s="343"/>
      <c r="G25" s="343"/>
      <c r="H25" s="343"/>
      <c r="I25" s="343"/>
      <c r="J25" s="343"/>
      <c r="K25" s="343"/>
      <c r="L25" s="343"/>
      <c r="M25" s="343"/>
      <c r="AB25" s="343"/>
    </row>
    <row r="26" spans="1:29" ht="20.100000000000001" customHeight="1">
      <c r="A26" s="1291"/>
      <c r="B26" s="266" t="s">
        <v>1489</v>
      </c>
      <c r="C26" s="326">
        <v>24</v>
      </c>
      <c r="D26" s="435" t="s">
        <v>1483</v>
      </c>
      <c r="F26" s="343"/>
      <c r="G26" s="343"/>
      <c r="H26" s="343"/>
      <c r="I26" s="343"/>
      <c r="J26" s="343"/>
      <c r="K26" s="343"/>
      <c r="L26" s="343"/>
      <c r="M26" s="343"/>
      <c r="AB26" s="343"/>
    </row>
    <row r="27" spans="1:29" ht="20.100000000000001" customHeight="1">
      <c r="A27" s="1291"/>
      <c r="B27" s="266" t="s">
        <v>1487</v>
      </c>
      <c r="C27" s="284" t="str">
        <f>ROUND(C22*60*C18/(C26/2),2)&amp;IF(C22*60*C18/(C26/2)&gt;C15," ＞T"," ≤T")</f>
        <v>0.71 ≤T</v>
      </c>
      <c r="D27" s="436" t="str">
        <f>IF(C22*60*C18/(C26/2)&gt;C15,"不满足要求，重新选择","满足要求")</f>
        <v>满足要求</v>
      </c>
      <c r="F27" s="343"/>
      <c r="G27" s="343"/>
      <c r="H27" s="343"/>
      <c r="I27" s="343"/>
      <c r="J27" s="343"/>
      <c r="K27" s="343"/>
      <c r="L27" s="343"/>
      <c r="M27" s="343"/>
      <c r="AB27" s="343"/>
    </row>
    <row r="28" spans="1:29" ht="20.100000000000001" customHeight="1">
      <c r="F28" s="343"/>
      <c r="G28" s="343"/>
      <c r="H28" s="343"/>
      <c r="I28" s="343"/>
      <c r="J28" s="343"/>
      <c r="K28" s="343"/>
      <c r="L28" s="343"/>
      <c r="M28" s="343"/>
      <c r="P28" s="368"/>
      <c r="AB28" s="343"/>
    </row>
    <row r="29" spans="1:29" ht="20.100000000000001" customHeight="1">
      <c r="A29" s="1293" t="s">
        <v>1514</v>
      </c>
      <c r="B29" s="1279"/>
      <c r="C29" s="1279"/>
      <c r="D29" s="1294"/>
      <c r="F29" s="343"/>
      <c r="G29" s="343"/>
      <c r="H29" s="343"/>
      <c r="I29" s="343"/>
      <c r="J29" s="343"/>
      <c r="K29" s="343"/>
      <c r="L29" s="343"/>
      <c r="M29" s="343"/>
      <c r="P29" s="368"/>
      <c r="AB29" s="343"/>
    </row>
    <row r="30" spans="1:29" ht="20.100000000000001" customHeight="1">
      <c r="A30" s="1295"/>
      <c r="B30" s="1280"/>
      <c r="C30" s="1280"/>
      <c r="D30" s="1296"/>
      <c r="F30" s="343"/>
      <c r="G30" s="343"/>
      <c r="H30" s="343"/>
      <c r="I30" s="343"/>
      <c r="J30" s="343"/>
      <c r="K30" s="343"/>
      <c r="L30" s="343"/>
      <c r="M30" s="343"/>
      <c r="P30" s="368"/>
      <c r="AB30" s="343"/>
    </row>
    <row r="31" spans="1:29" ht="20.100000000000001" customHeight="1">
      <c r="A31" s="1295"/>
      <c r="B31" s="1280"/>
      <c r="C31" s="1280"/>
      <c r="D31" s="1296"/>
      <c r="F31" s="343"/>
      <c r="G31" s="343"/>
      <c r="H31" s="343"/>
      <c r="K31" s="368"/>
      <c r="AB31" s="343"/>
    </row>
    <row r="32" spans="1:29" ht="20.100000000000001" customHeight="1">
      <c r="A32" s="1295"/>
      <c r="B32" s="1280"/>
      <c r="C32" s="1280"/>
      <c r="D32" s="1296"/>
      <c r="F32" s="343"/>
      <c r="G32" s="343"/>
      <c r="H32" s="343"/>
      <c r="K32" s="368"/>
      <c r="AB32" s="343"/>
    </row>
    <row r="33" spans="1:29" ht="20.100000000000001" customHeight="1">
      <c r="A33" s="1295"/>
      <c r="B33" s="1280"/>
      <c r="C33" s="1280"/>
      <c r="D33" s="1296"/>
      <c r="F33" s="343"/>
      <c r="G33" s="343"/>
      <c r="H33" s="343"/>
      <c r="K33" s="368"/>
      <c r="AC33" s="343"/>
    </row>
    <row r="34" spans="1:29" ht="20.100000000000001" customHeight="1">
      <c r="A34" s="1295"/>
      <c r="B34" s="1280"/>
      <c r="C34" s="1280"/>
      <c r="D34" s="1296"/>
      <c r="F34" s="343"/>
      <c r="G34" s="343"/>
      <c r="H34" s="343"/>
      <c r="I34" s="343"/>
      <c r="J34" s="343"/>
      <c r="K34" s="343"/>
      <c r="L34" s="343"/>
      <c r="M34" s="343"/>
      <c r="AC34" s="343"/>
    </row>
    <row r="35" spans="1:29" ht="20.100000000000001" customHeight="1">
      <c r="A35" s="1295"/>
      <c r="B35" s="1280"/>
      <c r="C35" s="1280"/>
      <c r="D35" s="1296"/>
      <c r="F35" s="343"/>
      <c r="G35" s="343"/>
      <c r="H35" s="343"/>
      <c r="I35" s="343"/>
      <c r="J35" s="343"/>
      <c r="K35" s="343"/>
      <c r="L35" s="343"/>
      <c r="M35" s="343"/>
      <c r="AC35" s="343"/>
    </row>
    <row r="36" spans="1:29" ht="20.100000000000001" customHeight="1">
      <c r="A36" s="1295"/>
      <c r="B36" s="1280"/>
      <c r="C36" s="1280"/>
      <c r="D36" s="1296"/>
      <c r="F36" s="343"/>
      <c r="G36" s="343"/>
      <c r="H36" s="343"/>
      <c r="I36" s="343"/>
      <c r="J36" s="343"/>
      <c r="K36" s="343"/>
      <c r="L36" s="343"/>
      <c r="M36" s="343"/>
      <c r="AC36" s="343"/>
    </row>
    <row r="37" spans="1:29" ht="20.100000000000001" customHeight="1">
      <c r="A37" s="1297"/>
      <c r="B37" s="1281"/>
      <c r="C37" s="1281"/>
      <c r="D37" s="1298"/>
      <c r="F37" s="343"/>
      <c r="G37" s="343"/>
      <c r="H37" s="343"/>
      <c r="I37" s="343"/>
      <c r="J37" s="343"/>
      <c r="K37" s="343"/>
      <c r="L37" s="343"/>
      <c r="M37" s="343"/>
      <c r="AC37" s="343"/>
    </row>
    <row r="38" spans="1:29" ht="20.100000000000001" customHeight="1">
      <c r="A38" s="1282" t="s">
        <v>1493</v>
      </c>
      <c r="B38" s="1283"/>
      <c r="C38" s="1283"/>
      <c r="D38" s="1284"/>
      <c r="F38" s="343"/>
      <c r="G38" s="343"/>
      <c r="H38" s="343"/>
      <c r="I38" s="343"/>
      <c r="J38" s="343"/>
      <c r="K38" s="343"/>
      <c r="L38" s="343"/>
      <c r="M38" s="343"/>
      <c r="AC38" s="343"/>
    </row>
    <row r="39" spans="1:29" ht="20.100000000000001" customHeight="1">
      <c r="A39" s="1285"/>
      <c r="B39" s="1272"/>
      <c r="C39" s="1272"/>
      <c r="D39" s="1286"/>
      <c r="F39" s="343"/>
      <c r="G39" s="343"/>
      <c r="H39" s="343"/>
      <c r="I39" s="343"/>
      <c r="J39" s="343"/>
      <c r="K39" s="343"/>
      <c r="L39" s="343"/>
      <c r="M39" s="343"/>
      <c r="AC39" s="343"/>
    </row>
    <row r="40" spans="1:29" ht="20.100000000000001" customHeight="1">
      <c r="A40" s="1285"/>
      <c r="B40" s="1272"/>
      <c r="C40" s="1272"/>
      <c r="D40" s="1286"/>
      <c r="F40" s="343"/>
      <c r="G40" s="343"/>
      <c r="H40" s="343"/>
      <c r="I40" s="343"/>
      <c r="J40" s="343"/>
      <c r="K40" s="343"/>
      <c r="L40" s="343"/>
      <c r="M40" s="343"/>
      <c r="X40" s="343"/>
      <c r="AC40" s="343"/>
    </row>
    <row r="41" spans="1:29" ht="20.100000000000001" customHeight="1">
      <c r="A41" s="1287"/>
      <c r="B41" s="1273"/>
      <c r="C41" s="1273"/>
      <c r="D41" s="1288"/>
      <c r="F41" s="343"/>
      <c r="G41" s="343"/>
      <c r="H41" s="343"/>
      <c r="I41" s="343"/>
      <c r="J41" s="343"/>
      <c r="K41" s="343"/>
      <c r="L41" s="343"/>
      <c r="M41" s="343"/>
      <c r="X41" s="343"/>
      <c r="AC41" s="343"/>
    </row>
    <row r="42" spans="1:29" ht="20.100000000000001" customHeight="1">
      <c r="A42" s="333"/>
      <c r="F42" s="343"/>
      <c r="G42" s="343"/>
      <c r="H42" s="343"/>
      <c r="I42" s="343"/>
      <c r="J42" s="343"/>
      <c r="K42" s="343"/>
      <c r="L42" s="343"/>
      <c r="M42" s="343"/>
      <c r="X42" s="343"/>
      <c r="AC42" s="343"/>
    </row>
    <row r="43" spans="1:29" ht="20.100000000000001" customHeight="1">
      <c r="F43" s="343"/>
      <c r="G43" s="343"/>
      <c r="H43" s="343"/>
      <c r="I43" s="343"/>
      <c r="J43" s="343"/>
      <c r="K43" s="343"/>
      <c r="L43" s="343"/>
      <c r="M43" s="343"/>
      <c r="AC43" s="343"/>
    </row>
    <row r="44" spans="1:29" ht="20.100000000000001" customHeight="1">
      <c r="F44" s="343"/>
      <c r="G44" s="343"/>
      <c r="H44" s="343"/>
      <c r="I44" s="343"/>
      <c r="J44" s="343"/>
      <c r="K44" s="343"/>
      <c r="L44" s="343"/>
      <c r="M44" s="343"/>
      <c r="AC44" s="343"/>
    </row>
    <row r="45" spans="1:29" ht="20.100000000000001" customHeight="1">
      <c r="F45" s="343"/>
      <c r="G45" s="343"/>
      <c r="H45" s="343"/>
      <c r="I45" s="343"/>
      <c r="J45" s="343"/>
      <c r="K45" s="343"/>
      <c r="L45" s="343"/>
      <c r="M45" s="343"/>
      <c r="AC45" s="343"/>
    </row>
    <row r="46" spans="1:29" ht="20.100000000000001" customHeight="1">
      <c r="F46" s="343"/>
      <c r="G46" s="343"/>
      <c r="H46" s="343"/>
      <c r="I46" s="343"/>
      <c r="J46" s="343"/>
      <c r="K46" s="343"/>
      <c r="L46" s="343"/>
      <c r="M46" s="343"/>
    </row>
    <row r="47" spans="1:29" ht="20.100000000000001" customHeight="1">
      <c r="F47" s="343"/>
      <c r="G47" s="343"/>
      <c r="H47" s="343"/>
      <c r="I47" s="343"/>
      <c r="J47" s="343"/>
      <c r="K47" s="343"/>
      <c r="L47" s="343"/>
      <c r="M47" s="343"/>
    </row>
    <row r="48" spans="1:29" ht="20.100000000000001" customHeight="1">
      <c r="J48" s="343"/>
      <c r="K48" s="343"/>
      <c r="L48" s="343"/>
      <c r="M48" s="343"/>
    </row>
    <row r="49" spans="6:29" ht="20.100000000000001" customHeight="1">
      <c r="J49" s="343"/>
      <c r="K49" s="343"/>
      <c r="L49" s="343"/>
      <c r="M49" s="343"/>
      <c r="AC49" s="343"/>
    </row>
    <row r="50" spans="6:29" ht="20.100000000000001" customHeight="1">
      <c r="J50" s="343"/>
      <c r="K50" s="343"/>
      <c r="L50" s="343"/>
      <c r="M50" s="343"/>
      <c r="AC50" s="343"/>
    </row>
    <row r="51" spans="6:29" ht="20.100000000000001" customHeight="1">
      <c r="J51" s="343"/>
      <c r="K51" s="343"/>
      <c r="L51" s="343"/>
      <c r="M51" s="343"/>
      <c r="AC51" s="343"/>
    </row>
    <row r="52" spans="6:29" ht="20.100000000000001" customHeight="1">
      <c r="F52" s="343"/>
      <c r="G52" s="343"/>
      <c r="H52" s="343"/>
      <c r="I52" s="343"/>
      <c r="J52" s="343"/>
      <c r="K52" s="343"/>
      <c r="L52" s="343"/>
      <c r="M52" s="343"/>
      <c r="AC52" s="343"/>
    </row>
    <row r="53" spans="6:29" ht="20.100000000000001" customHeight="1">
      <c r="F53" s="343"/>
      <c r="G53" s="343"/>
      <c r="H53" s="343"/>
      <c r="I53" s="343"/>
      <c r="J53" s="343"/>
      <c r="K53" s="343"/>
      <c r="L53" s="343"/>
      <c r="M53" s="343"/>
      <c r="AC53" s="343"/>
    </row>
    <row r="54" spans="6:29" ht="20.100000000000001" customHeight="1">
      <c r="F54" s="343"/>
      <c r="G54" s="343"/>
      <c r="H54" s="343"/>
      <c r="I54" s="343"/>
      <c r="J54" s="343"/>
      <c r="K54" s="343"/>
      <c r="AC54" s="343"/>
    </row>
    <row r="55" spans="6:29" ht="20.100000000000001" customHeight="1">
      <c r="F55" s="343"/>
      <c r="G55" s="343"/>
      <c r="H55" s="343"/>
      <c r="I55" s="343"/>
      <c r="J55" s="343"/>
      <c r="K55" s="343"/>
      <c r="AC55" s="343"/>
    </row>
    <row r="56" spans="6:29" ht="20.100000000000001" customHeight="1">
      <c r="F56" s="343"/>
      <c r="G56" s="343"/>
      <c r="H56" s="343"/>
      <c r="I56" s="343"/>
      <c r="J56" s="343"/>
      <c r="K56" s="343"/>
      <c r="AC56" s="343"/>
    </row>
    <row r="57" spans="6:29" ht="20.100000000000001" customHeight="1">
      <c r="K57" s="343"/>
      <c r="AC57" s="343"/>
    </row>
    <row r="58" spans="6:29" ht="20.100000000000001" customHeight="1">
      <c r="AC58" s="343"/>
    </row>
    <row r="59" spans="6:29" ht="20.100000000000001" customHeight="1">
      <c r="AC59" s="343"/>
    </row>
    <row r="60" spans="6:29" ht="20.100000000000001" customHeight="1">
      <c r="AC60" s="343"/>
    </row>
    <row r="61" spans="6:29" ht="20.100000000000001" customHeight="1">
      <c r="AC61" s="343"/>
    </row>
    <row r="62" spans="6:29" ht="20.100000000000001" customHeight="1">
      <c r="AC62" s="343"/>
    </row>
    <row r="63" spans="6:29" ht="20.100000000000001" customHeight="1">
      <c r="AC63" s="343"/>
    </row>
    <row r="64" spans="6:29" ht="20.100000000000001" customHeight="1">
      <c r="AC64" s="343"/>
    </row>
    <row r="65" spans="29:29" ht="20.100000000000001" customHeight="1">
      <c r="AC65" s="343"/>
    </row>
    <row r="66" spans="29:29" ht="20.100000000000001" customHeight="1">
      <c r="AC66" s="343"/>
    </row>
  </sheetData>
  <sheetProtection password="828E" sheet="1" objects="1" scenarios="1"/>
  <dataConsolidate/>
  <mergeCells count="7">
    <mergeCell ref="A38:D41"/>
    <mergeCell ref="A1:D1"/>
    <mergeCell ref="A11:A13"/>
    <mergeCell ref="D23:D24"/>
    <mergeCell ref="A14:A27"/>
    <mergeCell ref="A4:A10"/>
    <mergeCell ref="A29:D37"/>
  </mergeCells>
  <phoneticPr fontId="4" type="noConversion"/>
  <dataValidations count="1">
    <dataValidation type="list" allowBlank="1" showInputMessage="1" showErrorMessage="1" prompt="请选择" sqref="C4">
      <formula1>"上表面,垂直面"</formula1>
    </dataValidation>
  </dataValidation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sheetPr codeName="Sheet21"/>
  <dimension ref="A1:AC96"/>
  <sheetViews>
    <sheetView workbookViewId="0">
      <selection activeCell="F34" sqref="F34"/>
    </sheetView>
  </sheetViews>
  <sheetFormatPr defaultColWidth="15.625" defaultRowHeight="20.100000000000001" customHeight="1"/>
  <cols>
    <col min="1" max="1" width="15.625" style="262"/>
    <col min="2" max="2" width="25.875" style="262" customWidth="1"/>
    <col min="3" max="3" width="15.625" style="263"/>
    <col min="4" max="4" width="16.625" style="262" customWidth="1"/>
    <col min="5" max="5" width="7.875" style="262" customWidth="1"/>
    <col min="6" max="18" width="10.625" style="262" customWidth="1"/>
    <col min="19" max="25" width="8.625" style="262" customWidth="1"/>
    <col min="26" max="16384" width="15.625" style="262"/>
  </cols>
  <sheetData>
    <row r="1" spans="1:29" ht="21.95" customHeight="1">
      <c r="A1" s="775" t="s">
        <v>2348</v>
      </c>
      <c r="B1" s="776"/>
      <c r="C1" s="776"/>
      <c r="D1" s="776"/>
    </row>
    <row r="2" spans="1:29" ht="20.100000000000001" customHeight="1">
      <c r="A2" s="1299" t="s">
        <v>2369</v>
      </c>
      <c r="B2" s="972"/>
      <c r="C2" s="972"/>
      <c r="D2" s="972"/>
      <c r="F2" s="333" t="s">
        <v>2385</v>
      </c>
      <c r="J2" s="343" t="s">
        <v>2365</v>
      </c>
    </row>
    <row r="3" spans="1:29" ht="20.100000000000001" customHeight="1">
      <c r="A3" s="266" t="s">
        <v>753</v>
      </c>
      <c r="B3" s="266" t="s">
        <v>754</v>
      </c>
      <c r="C3" s="653" t="s">
        <v>755</v>
      </c>
      <c r="D3" s="266" t="s">
        <v>762</v>
      </c>
      <c r="H3" s="374"/>
      <c r="I3" s="374"/>
      <c r="K3" s="263"/>
      <c r="T3" s="342"/>
      <c r="U3" s="342"/>
      <c r="V3" s="342"/>
      <c r="W3" s="342"/>
      <c r="X3" s="342"/>
      <c r="Y3" s="342">
        <v>0</v>
      </c>
      <c r="Z3" s="342"/>
      <c r="AA3" s="342"/>
      <c r="AB3" s="342"/>
    </row>
    <row r="4" spans="1:29" ht="20.100000000000001" customHeight="1">
      <c r="A4" s="1226" t="s">
        <v>756</v>
      </c>
      <c r="B4" s="266" t="s">
        <v>1507</v>
      </c>
      <c r="C4" s="326">
        <v>90</v>
      </c>
      <c r="D4" s="266" t="s">
        <v>2357</v>
      </c>
      <c r="T4" s="342"/>
      <c r="U4" s="342"/>
      <c r="V4" s="342"/>
      <c r="W4" s="342"/>
      <c r="X4" s="342"/>
      <c r="Y4" s="342">
        <v>2</v>
      </c>
      <c r="Z4" s="342"/>
      <c r="AA4" s="342"/>
      <c r="AB4" s="342"/>
    </row>
    <row r="5" spans="1:29" ht="20.100000000000001" customHeight="1">
      <c r="A5" s="1216"/>
      <c r="B5" s="266" t="s">
        <v>1456</v>
      </c>
      <c r="C5" s="326">
        <v>10</v>
      </c>
      <c r="D5" s="266"/>
      <c r="U5" s="343"/>
      <c r="V5" s="343"/>
      <c r="W5" s="343"/>
      <c r="X5" s="343"/>
      <c r="Y5" s="343">
        <v>2</v>
      </c>
      <c r="Z5" s="343"/>
      <c r="AA5" s="343"/>
      <c r="AB5" s="343"/>
      <c r="AC5" s="343"/>
    </row>
    <row r="6" spans="1:29" ht="20.100000000000001" customHeight="1">
      <c r="A6" s="1216"/>
      <c r="B6" s="266" t="s">
        <v>2349</v>
      </c>
      <c r="C6" s="326">
        <v>60</v>
      </c>
      <c r="D6" s="345"/>
      <c r="U6" s="344"/>
      <c r="V6" s="344"/>
      <c r="W6" s="344"/>
      <c r="X6" s="344"/>
      <c r="Y6" s="343">
        <v>2</v>
      </c>
      <c r="Z6" s="344"/>
      <c r="AA6" s="344"/>
      <c r="AB6" s="344"/>
      <c r="AC6" s="344"/>
    </row>
    <row r="7" spans="1:29" ht="20.100000000000001" customHeight="1">
      <c r="A7" s="1216"/>
      <c r="B7" s="266" t="s">
        <v>2358</v>
      </c>
      <c r="C7" s="326">
        <v>0.1</v>
      </c>
      <c r="D7" s="345" t="s">
        <v>2359</v>
      </c>
      <c r="U7" s="344"/>
      <c r="V7" s="344"/>
      <c r="W7" s="344"/>
      <c r="X7" s="344"/>
      <c r="Y7" s="349">
        <v>0</v>
      </c>
    </row>
    <row r="8" spans="1:29" ht="20.100000000000001" customHeight="1">
      <c r="A8" s="1217"/>
      <c r="B8" s="266" t="s">
        <v>2350</v>
      </c>
      <c r="C8" s="326">
        <v>6</v>
      </c>
      <c r="D8" s="266" t="s">
        <v>2351</v>
      </c>
      <c r="F8" s="718" t="s">
        <v>2356</v>
      </c>
      <c r="G8" s="343"/>
      <c r="H8" s="343"/>
      <c r="V8" s="344"/>
      <c r="W8" s="344"/>
      <c r="X8" s="344"/>
    </row>
    <row r="9" spans="1:29" ht="20.100000000000001" customHeight="1">
      <c r="A9" s="1090" t="s">
        <v>2370</v>
      </c>
      <c r="B9" s="266" t="s">
        <v>2352</v>
      </c>
      <c r="C9" s="378">
        <f>0.5*C5*C7^2</f>
        <v>5.000000000000001E-2</v>
      </c>
      <c r="D9" s="266" t="s">
        <v>2353</v>
      </c>
      <c r="F9" s="262" t="s">
        <v>2366</v>
      </c>
      <c r="G9" s="343"/>
      <c r="H9" s="343"/>
      <c r="V9" s="344"/>
      <c r="W9" s="344"/>
      <c r="AB9" s="344"/>
    </row>
    <row r="10" spans="1:29" ht="20.100000000000001" customHeight="1">
      <c r="A10" s="1082"/>
      <c r="B10" s="266" t="s">
        <v>2354</v>
      </c>
      <c r="C10" s="378">
        <f>C5*9.8*C8/1000*SIN(RADIANS(C4))</f>
        <v>0.58799999999999997</v>
      </c>
      <c r="D10" s="266" t="s">
        <v>2355</v>
      </c>
      <c r="F10" s="343"/>
      <c r="G10" s="343"/>
      <c r="H10" s="343"/>
      <c r="V10" s="344"/>
      <c r="W10" s="344"/>
    </row>
    <row r="11" spans="1:29" ht="20.100000000000001" customHeight="1">
      <c r="A11" s="1082"/>
      <c r="B11" s="266" t="s">
        <v>2360</v>
      </c>
      <c r="C11" s="378">
        <f>C6*C8/1000</f>
        <v>0.36</v>
      </c>
      <c r="D11" s="266" t="s">
        <v>2361</v>
      </c>
      <c r="F11" s="343"/>
      <c r="G11" s="343"/>
      <c r="H11" s="343"/>
      <c r="O11" s="343"/>
      <c r="V11" s="344"/>
      <c r="W11" s="344"/>
      <c r="Y11" s="343"/>
    </row>
    <row r="12" spans="1:29" ht="20.100000000000001" customHeight="1">
      <c r="A12" s="1082"/>
      <c r="B12" s="266" t="s">
        <v>2363</v>
      </c>
      <c r="C12" s="284">
        <f>C9+C10+C11</f>
        <v>0.998</v>
      </c>
      <c r="D12" s="266"/>
      <c r="F12" s="343"/>
      <c r="G12" s="343"/>
      <c r="H12" s="343"/>
      <c r="O12" s="343"/>
      <c r="P12" s="343"/>
      <c r="Q12" s="343"/>
      <c r="R12" s="343"/>
      <c r="S12" s="343"/>
      <c r="T12" s="343"/>
      <c r="U12" s="343"/>
      <c r="V12" s="344"/>
      <c r="W12" s="344"/>
      <c r="X12" s="343"/>
      <c r="Z12" s="343"/>
    </row>
    <row r="13" spans="1:29" ht="20.100000000000001" customHeight="1">
      <c r="A13" s="1082"/>
      <c r="B13" s="266" t="s">
        <v>2362</v>
      </c>
      <c r="C13" s="326">
        <v>2</v>
      </c>
      <c r="D13" s="266"/>
      <c r="F13" s="343"/>
      <c r="G13" s="343"/>
      <c r="H13" s="343"/>
      <c r="Z13" s="343"/>
    </row>
    <row r="14" spans="1:29" ht="20.100000000000001" customHeight="1">
      <c r="A14" s="1082"/>
      <c r="B14" s="266" t="s">
        <v>2364</v>
      </c>
      <c r="C14" s="412">
        <f>C13*C12</f>
        <v>1.996</v>
      </c>
      <c r="D14" s="266"/>
      <c r="F14" s="343"/>
      <c r="G14" s="343"/>
      <c r="H14" s="343"/>
      <c r="Z14" s="343"/>
    </row>
    <row r="15" spans="1:29" ht="20.100000000000001" customHeight="1">
      <c r="A15" s="1083"/>
      <c r="B15" s="345" t="s">
        <v>2367</v>
      </c>
      <c r="C15" s="385"/>
      <c r="D15" s="345" t="s">
        <v>2368</v>
      </c>
      <c r="F15" s="343"/>
      <c r="G15" s="343"/>
      <c r="H15" s="343"/>
      <c r="Z15" s="343"/>
    </row>
    <row r="16" spans="1:29" ht="20.100000000000001" customHeight="1">
      <c r="A16" s="1299" t="s">
        <v>2373</v>
      </c>
      <c r="B16" s="972"/>
      <c r="C16" s="972"/>
      <c r="D16" s="972"/>
      <c r="F16" s="343"/>
      <c r="G16" s="343"/>
      <c r="H16" s="343"/>
      <c r="Z16" s="343"/>
    </row>
    <row r="17" spans="1:27" ht="20.100000000000001" customHeight="1">
      <c r="A17" s="266" t="s">
        <v>753</v>
      </c>
      <c r="B17" s="266" t="s">
        <v>754</v>
      </c>
      <c r="C17" s="653" t="s">
        <v>755</v>
      </c>
      <c r="D17" s="266" t="s">
        <v>762</v>
      </c>
      <c r="F17" s="343"/>
      <c r="G17" s="343"/>
      <c r="H17" s="343"/>
      <c r="Z17" s="343"/>
    </row>
    <row r="18" spans="1:27" ht="20.100000000000001" customHeight="1">
      <c r="A18" s="1226" t="s">
        <v>756</v>
      </c>
      <c r="B18" s="266" t="s">
        <v>2378</v>
      </c>
      <c r="C18" s="326">
        <v>20</v>
      </c>
      <c r="D18" s="266" t="s">
        <v>2357</v>
      </c>
      <c r="F18" s="343"/>
      <c r="G18" s="343"/>
      <c r="H18" s="343"/>
      <c r="Z18" s="343"/>
    </row>
    <row r="19" spans="1:27" ht="20.100000000000001" customHeight="1">
      <c r="A19" s="1216"/>
      <c r="B19" s="266" t="s">
        <v>2371</v>
      </c>
      <c r="C19" s="326">
        <v>0.5</v>
      </c>
      <c r="D19" s="266" t="s">
        <v>2372</v>
      </c>
      <c r="F19" s="343"/>
      <c r="G19" s="343"/>
      <c r="H19" s="343"/>
      <c r="N19" s="333"/>
      <c r="Z19" s="343"/>
    </row>
    <row r="20" spans="1:27" ht="20.100000000000001" customHeight="1">
      <c r="A20" s="1216"/>
      <c r="B20" s="266" t="s">
        <v>2374</v>
      </c>
      <c r="C20" s="326">
        <v>60</v>
      </c>
      <c r="D20" s="345"/>
      <c r="F20" s="343"/>
      <c r="G20" s="343"/>
      <c r="H20" s="343"/>
      <c r="Z20" s="343"/>
    </row>
    <row r="21" spans="1:27" ht="20.100000000000001" customHeight="1">
      <c r="A21" s="1216"/>
      <c r="B21" s="266" t="s">
        <v>2375</v>
      </c>
      <c r="C21" s="287">
        <f>2*PI()*C20/60</f>
        <v>6.2831853071795853</v>
      </c>
      <c r="D21" s="345" t="s">
        <v>2376</v>
      </c>
      <c r="F21" s="343"/>
      <c r="G21" s="343"/>
      <c r="H21" s="343"/>
      <c r="AA21" s="343"/>
    </row>
    <row r="22" spans="1:27" ht="20.100000000000001" customHeight="1">
      <c r="A22" s="1216"/>
      <c r="B22" s="266" t="s">
        <v>2380</v>
      </c>
      <c r="C22" s="326">
        <v>50</v>
      </c>
      <c r="D22" s="345" t="s">
        <v>2381</v>
      </c>
      <c r="G22" s="343"/>
      <c r="H22" s="343"/>
      <c r="AA22" s="343"/>
    </row>
    <row r="23" spans="1:27" ht="20.100000000000001" customHeight="1">
      <c r="A23" s="1217"/>
      <c r="B23" s="266" t="s">
        <v>2350</v>
      </c>
      <c r="C23" s="326">
        <v>6</v>
      </c>
      <c r="D23" s="266" t="s">
        <v>2351</v>
      </c>
      <c r="F23" s="343"/>
      <c r="G23" s="343"/>
      <c r="H23" s="343"/>
      <c r="AA23" s="343"/>
    </row>
    <row r="24" spans="1:27" ht="20.100000000000001" customHeight="1">
      <c r="A24" s="1090" t="s">
        <v>2370</v>
      </c>
      <c r="B24" s="266" t="s">
        <v>2352</v>
      </c>
      <c r="C24" s="378">
        <f>0.5*C19*C21^2</f>
        <v>9.8696044010893544</v>
      </c>
      <c r="D24" s="266" t="s">
        <v>2377</v>
      </c>
      <c r="F24" s="343"/>
      <c r="G24" s="343"/>
      <c r="H24" s="343"/>
      <c r="AA24" s="343"/>
    </row>
    <row r="25" spans="1:27" ht="20.100000000000001" customHeight="1">
      <c r="A25" s="757"/>
      <c r="B25" s="266" t="s">
        <v>2379</v>
      </c>
      <c r="C25" s="378">
        <f>C18*C23/C22</f>
        <v>2.4</v>
      </c>
      <c r="D25" s="266" t="s">
        <v>2382</v>
      </c>
      <c r="F25" s="343"/>
      <c r="G25" s="343"/>
      <c r="H25" s="343"/>
      <c r="AA25" s="343"/>
    </row>
    <row r="26" spans="1:27" ht="20.100000000000001" customHeight="1">
      <c r="A26" s="757"/>
      <c r="B26" s="266" t="s">
        <v>2363</v>
      </c>
      <c r="C26" s="284">
        <f>C24+C25</f>
        <v>12.269604401089355</v>
      </c>
      <c r="D26" s="266"/>
      <c r="F26" s="343"/>
      <c r="G26" s="343"/>
      <c r="H26" s="343"/>
      <c r="AA26" s="343"/>
    </row>
    <row r="27" spans="1:27" ht="20.100000000000001" customHeight="1">
      <c r="A27" s="757"/>
      <c r="B27" s="266" t="s">
        <v>2362</v>
      </c>
      <c r="C27" s="326">
        <v>2</v>
      </c>
      <c r="D27" s="266"/>
      <c r="F27" s="343"/>
      <c r="G27" s="343"/>
      <c r="H27" s="343"/>
      <c r="AA27" s="343"/>
    </row>
    <row r="28" spans="1:27" ht="20.100000000000001" customHeight="1">
      <c r="A28" s="757"/>
      <c r="B28" s="266" t="s">
        <v>2364</v>
      </c>
      <c r="C28" s="412">
        <f>C27*C26</f>
        <v>24.53920880217871</v>
      </c>
      <c r="D28" s="266"/>
      <c r="F28" s="343"/>
      <c r="G28" s="343"/>
      <c r="H28" s="343"/>
      <c r="AA28" s="343"/>
    </row>
    <row r="29" spans="1:27" ht="20.100000000000001" customHeight="1">
      <c r="A29" s="768"/>
      <c r="B29" s="345" t="s">
        <v>2367</v>
      </c>
      <c r="C29" s="385"/>
      <c r="D29" s="345" t="s">
        <v>2368</v>
      </c>
      <c r="F29" s="343"/>
      <c r="G29" s="343"/>
      <c r="H29" s="343"/>
      <c r="AA29" s="343"/>
    </row>
    <row r="30" spans="1:27" ht="20.100000000000001" customHeight="1">
      <c r="F30" s="343"/>
      <c r="G30" s="343"/>
      <c r="H30" s="343"/>
      <c r="AA30" s="343"/>
    </row>
    <row r="31" spans="1:27" ht="20.100000000000001" customHeight="1">
      <c r="A31" s="1225" t="s">
        <v>2383</v>
      </c>
      <c r="B31" s="1225"/>
      <c r="C31" s="1225"/>
      <c r="D31" s="1225"/>
      <c r="F31" s="343"/>
      <c r="G31" s="343"/>
      <c r="H31" s="343"/>
      <c r="AA31" s="343"/>
    </row>
    <row r="32" spans="1:27" ht="20.100000000000001" customHeight="1">
      <c r="A32" s="1225"/>
      <c r="B32" s="1225"/>
      <c r="C32" s="1225"/>
      <c r="D32" s="1225"/>
      <c r="F32" s="343"/>
      <c r="G32" s="343"/>
      <c r="H32" s="343"/>
      <c r="AA32" s="343"/>
    </row>
    <row r="33" spans="1:27" ht="20.100000000000001" customHeight="1">
      <c r="A33" s="1227" t="s">
        <v>2384</v>
      </c>
      <c r="B33" s="1227"/>
      <c r="C33" s="1227"/>
      <c r="D33" s="1227"/>
      <c r="F33" s="349"/>
      <c r="G33" s="343"/>
      <c r="H33" s="367"/>
      <c r="I33" s="367"/>
      <c r="J33" s="367"/>
      <c r="K33" s="384"/>
      <c r="L33" s="384"/>
      <c r="M33" s="384"/>
      <c r="N33" s="333"/>
      <c r="AA33" s="343"/>
    </row>
    <row r="34" spans="1:27" ht="20.100000000000001" customHeight="1">
      <c r="A34" s="1227"/>
      <c r="B34" s="1227"/>
      <c r="C34" s="1227"/>
      <c r="D34" s="1227"/>
      <c r="F34" s="349"/>
      <c r="G34" s="343"/>
      <c r="H34" s="367"/>
      <c r="I34" s="367"/>
      <c r="J34" s="367"/>
      <c r="K34" s="384"/>
      <c r="L34" s="384"/>
      <c r="M34" s="384"/>
      <c r="AA34" s="343"/>
    </row>
    <row r="35" spans="1:27" ht="20.100000000000001" customHeight="1">
      <c r="A35" s="1227"/>
      <c r="B35" s="1227"/>
      <c r="C35" s="1227"/>
      <c r="D35" s="1227"/>
      <c r="F35" s="349"/>
      <c r="G35" s="343"/>
      <c r="H35" s="367"/>
      <c r="I35" s="367"/>
      <c r="J35" s="367"/>
      <c r="K35" s="367"/>
      <c r="L35" s="367"/>
      <c r="M35" s="367"/>
      <c r="AA35" s="343"/>
    </row>
    <row r="36" spans="1:27" ht="20.100000000000001" customHeight="1">
      <c r="A36" s="389"/>
      <c r="B36" s="389"/>
      <c r="C36" s="389"/>
      <c r="D36" s="389"/>
      <c r="F36" s="349"/>
      <c r="G36" s="343"/>
      <c r="H36" s="367"/>
      <c r="I36" s="367"/>
      <c r="J36" s="367"/>
      <c r="K36" s="343"/>
      <c r="L36" s="343"/>
      <c r="M36" s="343"/>
      <c r="AA36" s="343"/>
    </row>
    <row r="37" spans="1:27" ht="20.100000000000001" customHeight="1">
      <c r="A37" s="389"/>
      <c r="B37" s="389"/>
      <c r="C37" s="389"/>
      <c r="D37" s="389"/>
      <c r="F37" s="343"/>
      <c r="G37" s="343"/>
      <c r="H37" s="343"/>
      <c r="I37" s="343"/>
      <c r="J37" s="343"/>
      <c r="K37" s="343"/>
      <c r="L37" s="343"/>
      <c r="M37" s="343"/>
      <c r="AA37" s="343"/>
    </row>
    <row r="38" spans="1:27" ht="20.100000000000001" customHeight="1">
      <c r="A38" s="389"/>
      <c r="B38" s="389"/>
      <c r="C38" s="389"/>
      <c r="D38" s="389"/>
      <c r="F38" s="349"/>
      <c r="G38" s="343"/>
      <c r="H38" s="343"/>
      <c r="I38" s="343"/>
      <c r="J38" s="343"/>
      <c r="K38" s="343"/>
      <c r="L38" s="343"/>
      <c r="M38" s="343"/>
      <c r="AA38" s="343"/>
    </row>
    <row r="39" spans="1:27" ht="20.100000000000001" customHeight="1">
      <c r="A39" s="389"/>
      <c r="B39" s="389"/>
      <c r="C39" s="389"/>
      <c r="D39" s="389"/>
      <c r="F39" s="343"/>
      <c r="G39" s="343"/>
      <c r="H39" s="343"/>
      <c r="I39" s="343"/>
      <c r="J39" s="343"/>
      <c r="K39" s="343"/>
      <c r="L39" s="343"/>
      <c r="M39" s="343"/>
      <c r="Z39" s="343"/>
    </row>
    <row r="40" spans="1:27" ht="20.100000000000001" customHeight="1">
      <c r="A40" s="389"/>
      <c r="B40" s="389"/>
      <c r="C40" s="389"/>
      <c r="D40" s="389"/>
      <c r="F40" s="343"/>
      <c r="G40" s="343"/>
      <c r="H40" s="343"/>
      <c r="I40" s="343"/>
      <c r="J40" s="343"/>
      <c r="K40" s="343"/>
      <c r="L40" s="343"/>
      <c r="M40" s="343"/>
      <c r="Z40" s="343"/>
    </row>
    <row r="41" spans="1:27" ht="20.100000000000001" customHeight="1">
      <c r="E41" s="343"/>
      <c r="F41" s="343"/>
      <c r="G41" s="343"/>
      <c r="H41" s="343"/>
      <c r="I41" s="343"/>
      <c r="J41" s="343"/>
      <c r="K41" s="343"/>
      <c r="L41" s="343"/>
      <c r="M41" s="343"/>
      <c r="Z41" s="343"/>
    </row>
    <row r="42" spans="1:27" ht="20.100000000000001" customHeight="1">
      <c r="F42" s="343"/>
      <c r="G42" s="343"/>
      <c r="H42" s="343"/>
      <c r="I42" s="343"/>
      <c r="J42" s="343"/>
      <c r="K42" s="343"/>
      <c r="L42" s="343"/>
      <c r="M42" s="343"/>
      <c r="Z42" s="343"/>
    </row>
    <row r="43" spans="1:27" ht="20.100000000000001" customHeight="1">
      <c r="F43" s="343"/>
      <c r="G43" s="343"/>
      <c r="H43" s="343"/>
      <c r="I43" s="343"/>
      <c r="J43" s="343"/>
      <c r="K43" s="343"/>
      <c r="L43" s="343"/>
      <c r="M43" s="343"/>
      <c r="Z43" s="343"/>
    </row>
    <row r="44" spans="1:27" ht="20.100000000000001" customHeight="1">
      <c r="F44" s="343"/>
      <c r="G44" s="343"/>
      <c r="H44" s="343"/>
      <c r="I44" s="343"/>
      <c r="J44" s="343"/>
      <c r="K44" s="343"/>
      <c r="L44" s="343"/>
      <c r="M44" s="343"/>
      <c r="Z44" s="343"/>
    </row>
    <row r="45" spans="1:27" ht="20.100000000000001" customHeight="1">
      <c r="F45" s="343"/>
      <c r="G45" s="343"/>
      <c r="H45" s="343"/>
      <c r="I45" s="343"/>
      <c r="J45" s="343"/>
      <c r="K45" s="343"/>
      <c r="L45" s="343"/>
      <c r="M45" s="343"/>
      <c r="N45" s="343"/>
      <c r="O45" s="343"/>
      <c r="Z45" s="343"/>
    </row>
    <row r="46" spans="1:27" ht="20.100000000000001" customHeight="1">
      <c r="F46" s="343"/>
      <c r="G46" s="343"/>
      <c r="H46" s="343"/>
      <c r="I46" s="343"/>
      <c r="J46" s="343"/>
      <c r="K46" s="343"/>
      <c r="L46" s="343"/>
      <c r="M46" s="343"/>
      <c r="Z46" s="343"/>
    </row>
    <row r="47" spans="1:27" ht="20.100000000000001" customHeight="1">
      <c r="F47" s="343"/>
      <c r="G47" s="343"/>
      <c r="H47" s="343"/>
      <c r="I47" s="343"/>
      <c r="J47" s="343"/>
      <c r="K47" s="343"/>
      <c r="L47" s="343"/>
      <c r="M47" s="343"/>
      <c r="AA47" s="343"/>
    </row>
    <row r="48" spans="1:27" ht="20.100000000000001" customHeight="1">
      <c r="F48" s="343"/>
      <c r="G48" s="343"/>
      <c r="H48" s="343"/>
      <c r="I48" s="343"/>
      <c r="J48" s="343"/>
      <c r="K48" s="343"/>
      <c r="L48" s="343"/>
      <c r="M48" s="343"/>
      <c r="AA48" s="343"/>
    </row>
    <row r="49" spans="6:27" ht="20.100000000000001" customHeight="1">
      <c r="F49" s="343"/>
      <c r="G49" s="343"/>
      <c r="H49" s="343"/>
      <c r="I49" s="343"/>
      <c r="J49" s="343"/>
      <c r="K49" s="343"/>
      <c r="L49" s="343"/>
      <c r="M49" s="343"/>
      <c r="AA49" s="343"/>
    </row>
    <row r="50" spans="6:27" ht="20.100000000000001" customHeight="1">
      <c r="F50" s="343"/>
      <c r="G50" s="343"/>
      <c r="H50" s="343"/>
      <c r="I50" s="343"/>
      <c r="J50" s="343"/>
      <c r="K50" s="343"/>
      <c r="L50" s="343"/>
      <c r="M50" s="343"/>
      <c r="AA50" s="343"/>
    </row>
    <row r="51" spans="6:27" ht="20.100000000000001" customHeight="1">
      <c r="F51" s="343"/>
      <c r="G51" s="343"/>
      <c r="H51" s="343"/>
      <c r="I51" s="343"/>
      <c r="J51" s="343"/>
      <c r="K51" s="343"/>
      <c r="L51" s="343"/>
      <c r="M51" s="343"/>
      <c r="AA51" s="343"/>
    </row>
    <row r="52" spans="6:27" ht="20.100000000000001" customHeight="1">
      <c r="F52" s="343"/>
      <c r="G52" s="343"/>
      <c r="H52" s="343"/>
      <c r="I52" s="343"/>
      <c r="J52" s="343"/>
      <c r="K52" s="343"/>
      <c r="L52" s="343"/>
      <c r="M52" s="343"/>
      <c r="AA52" s="343"/>
    </row>
    <row r="53" spans="6:27" ht="20.100000000000001" customHeight="1">
      <c r="F53" s="343"/>
      <c r="G53" s="343"/>
      <c r="H53" s="343"/>
      <c r="I53" s="343"/>
      <c r="J53" s="343"/>
      <c r="K53" s="343"/>
      <c r="L53" s="343"/>
      <c r="M53" s="343"/>
      <c r="AA53" s="343"/>
    </row>
    <row r="54" spans="6:27" ht="20.100000000000001" customHeight="1">
      <c r="F54" s="343"/>
      <c r="G54" s="343"/>
      <c r="H54" s="343"/>
      <c r="I54" s="343"/>
      <c r="J54" s="343"/>
      <c r="K54" s="343"/>
      <c r="L54" s="343"/>
      <c r="M54" s="343"/>
      <c r="AA54" s="343"/>
    </row>
    <row r="55" spans="6:27" ht="20.100000000000001" customHeight="1">
      <c r="F55" s="343"/>
      <c r="G55" s="343"/>
      <c r="H55" s="343"/>
      <c r="I55" s="343"/>
      <c r="J55" s="343"/>
      <c r="K55" s="343"/>
      <c r="L55" s="343"/>
      <c r="M55" s="343"/>
      <c r="AA55" s="343"/>
    </row>
    <row r="56" spans="6:27" ht="20.100000000000001" customHeight="1">
      <c r="F56" s="343"/>
      <c r="G56" s="343"/>
      <c r="H56" s="343"/>
      <c r="I56" s="343"/>
      <c r="J56" s="343"/>
      <c r="K56" s="343"/>
      <c r="L56" s="343"/>
      <c r="M56" s="343"/>
      <c r="AA56" s="343"/>
    </row>
    <row r="57" spans="6:27" ht="20.100000000000001" customHeight="1">
      <c r="F57" s="343"/>
      <c r="G57" s="343"/>
      <c r="H57" s="343"/>
      <c r="I57" s="343"/>
      <c r="J57" s="343"/>
      <c r="K57" s="343"/>
      <c r="L57" s="343"/>
      <c r="M57" s="343"/>
      <c r="AA57" s="343"/>
    </row>
    <row r="58" spans="6:27" ht="20.100000000000001" customHeight="1">
      <c r="F58" s="343"/>
      <c r="G58" s="343"/>
      <c r="H58" s="343"/>
      <c r="I58" s="343"/>
      <c r="J58" s="343"/>
      <c r="K58" s="343"/>
      <c r="L58" s="343"/>
      <c r="M58" s="343"/>
      <c r="AA58" s="343"/>
    </row>
    <row r="59" spans="6:27" ht="20.100000000000001" customHeight="1">
      <c r="F59" s="343"/>
      <c r="G59" s="343"/>
      <c r="H59" s="343"/>
      <c r="I59" s="343"/>
      <c r="J59" s="343"/>
      <c r="K59" s="343"/>
      <c r="L59" s="343"/>
      <c r="M59" s="343"/>
      <c r="AA59" s="343"/>
    </row>
    <row r="60" spans="6:27" ht="20.100000000000001" customHeight="1">
      <c r="F60" s="343"/>
      <c r="G60" s="343"/>
      <c r="H60" s="343"/>
      <c r="I60" s="343"/>
      <c r="J60" s="343"/>
      <c r="K60" s="343"/>
      <c r="L60" s="343"/>
      <c r="M60" s="343"/>
      <c r="AA60" s="343"/>
    </row>
    <row r="61" spans="6:27" ht="20.100000000000001" customHeight="1">
      <c r="F61" s="343"/>
      <c r="G61" s="343"/>
      <c r="H61" s="343"/>
      <c r="I61" s="343"/>
      <c r="J61" s="343"/>
      <c r="K61" s="343"/>
      <c r="L61" s="343"/>
      <c r="M61" s="343"/>
      <c r="AA61" s="343"/>
    </row>
    <row r="62" spans="6:27" ht="20.100000000000001" customHeight="1">
      <c r="F62" s="343"/>
      <c r="G62" s="343"/>
      <c r="H62" s="343"/>
      <c r="I62" s="343"/>
      <c r="J62" s="343"/>
      <c r="K62" s="343"/>
      <c r="L62" s="343"/>
      <c r="M62" s="343"/>
      <c r="AA62" s="343"/>
    </row>
    <row r="63" spans="6:27" ht="20.100000000000001" customHeight="1">
      <c r="F63" s="343"/>
      <c r="G63" s="343"/>
      <c r="H63" s="343"/>
      <c r="I63" s="343"/>
      <c r="J63" s="343"/>
      <c r="K63" s="343"/>
      <c r="L63" s="343"/>
      <c r="M63" s="343"/>
      <c r="AA63" s="343"/>
    </row>
    <row r="64" spans="6:27" ht="20.100000000000001" customHeight="1">
      <c r="F64" s="343"/>
      <c r="G64" s="343"/>
      <c r="H64" s="343"/>
      <c r="I64" s="343"/>
      <c r="J64" s="343"/>
      <c r="K64" s="343"/>
      <c r="L64" s="343"/>
      <c r="M64" s="343"/>
      <c r="AA64" s="343"/>
    </row>
    <row r="65" spans="6:27" ht="20.100000000000001" customHeight="1">
      <c r="F65" s="343"/>
      <c r="G65" s="343"/>
      <c r="H65" s="343"/>
      <c r="I65" s="343"/>
      <c r="J65" s="343"/>
      <c r="K65" s="343"/>
      <c r="L65" s="343"/>
      <c r="M65" s="343"/>
      <c r="AA65" s="343"/>
    </row>
    <row r="66" spans="6:27" ht="20.100000000000001" customHeight="1">
      <c r="F66" s="343"/>
      <c r="G66" s="343"/>
      <c r="H66" s="343"/>
      <c r="I66" s="343"/>
      <c r="J66" s="343"/>
      <c r="K66" s="343"/>
      <c r="L66" s="343"/>
      <c r="M66" s="343"/>
      <c r="AA66" s="343"/>
    </row>
    <row r="67" spans="6:27" ht="20.100000000000001" customHeight="1">
      <c r="F67" s="343"/>
      <c r="G67" s="343"/>
      <c r="H67" s="343"/>
      <c r="I67" s="343"/>
      <c r="J67" s="343"/>
      <c r="K67" s="343"/>
      <c r="L67" s="343"/>
      <c r="M67" s="343"/>
      <c r="AA67" s="343"/>
    </row>
    <row r="68" spans="6:27" ht="20.100000000000001" customHeight="1">
      <c r="F68" s="343"/>
      <c r="G68" s="343"/>
      <c r="H68" s="343"/>
      <c r="I68" s="343"/>
      <c r="J68" s="343"/>
      <c r="K68" s="343"/>
      <c r="L68" s="343"/>
      <c r="M68" s="343"/>
      <c r="AA68" s="343"/>
    </row>
    <row r="69" spans="6:27" ht="20.100000000000001" customHeight="1">
      <c r="F69" s="343"/>
      <c r="G69" s="343"/>
      <c r="H69" s="343"/>
      <c r="I69" s="343"/>
      <c r="J69" s="343"/>
      <c r="K69" s="343"/>
      <c r="L69" s="343"/>
      <c r="M69" s="343"/>
      <c r="AA69" s="343"/>
    </row>
    <row r="70" spans="6:27" ht="20.100000000000001" customHeight="1">
      <c r="F70" s="343"/>
      <c r="G70" s="343"/>
      <c r="H70" s="343"/>
      <c r="I70" s="343"/>
      <c r="J70" s="343"/>
      <c r="K70" s="343"/>
      <c r="L70" s="343"/>
      <c r="M70" s="343"/>
      <c r="AA70" s="343"/>
    </row>
    <row r="71" spans="6:27" ht="20.100000000000001" customHeight="1">
      <c r="F71" s="343"/>
      <c r="G71" s="343"/>
      <c r="H71" s="343"/>
      <c r="I71" s="343"/>
      <c r="J71" s="343"/>
      <c r="K71" s="343"/>
      <c r="L71" s="343"/>
      <c r="M71" s="343"/>
      <c r="AA71" s="343"/>
    </row>
    <row r="72" spans="6:27" ht="20.100000000000001" customHeight="1">
      <c r="F72" s="343"/>
      <c r="G72" s="343"/>
      <c r="H72" s="343"/>
      <c r="I72" s="343"/>
      <c r="J72" s="343"/>
      <c r="K72" s="343"/>
      <c r="L72" s="343"/>
      <c r="M72" s="343"/>
      <c r="N72" s="669"/>
      <c r="AA72" s="343"/>
    </row>
    <row r="73" spans="6:27" ht="20.100000000000001" customHeight="1">
      <c r="F73" s="343"/>
      <c r="G73" s="343"/>
      <c r="H73" s="343"/>
      <c r="I73" s="343"/>
      <c r="J73" s="343"/>
      <c r="K73" s="343"/>
      <c r="L73" s="343"/>
      <c r="M73" s="343"/>
      <c r="N73" s="669"/>
      <c r="AA73" s="343"/>
    </row>
    <row r="74" spans="6:27" ht="20.100000000000001" customHeight="1">
      <c r="F74" s="343"/>
      <c r="G74" s="343"/>
      <c r="H74" s="343"/>
      <c r="I74" s="343"/>
      <c r="J74" s="343"/>
      <c r="K74" s="343"/>
      <c r="L74" s="343"/>
      <c r="M74" s="343"/>
      <c r="N74" s="669"/>
      <c r="AA74" s="343"/>
    </row>
    <row r="75" spans="6:27" ht="20.100000000000001" customHeight="1">
      <c r="F75" s="343"/>
      <c r="G75" s="343"/>
      <c r="H75" s="343"/>
      <c r="I75" s="343"/>
      <c r="J75" s="343"/>
      <c r="K75" s="343"/>
      <c r="L75" s="343"/>
      <c r="M75" s="343"/>
      <c r="N75" s="669"/>
      <c r="AA75" s="343"/>
    </row>
    <row r="76" spans="6:27" ht="20.100000000000001" customHeight="1">
      <c r="F76" s="343"/>
      <c r="G76" s="343"/>
      <c r="H76" s="343"/>
      <c r="I76" s="343"/>
      <c r="J76" s="343"/>
      <c r="K76" s="343"/>
      <c r="L76" s="343"/>
      <c r="M76" s="343"/>
      <c r="N76" s="669"/>
      <c r="AA76" s="343"/>
    </row>
    <row r="77" spans="6:27" ht="20.100000000000001" customHeight="1">
      <c r="F77" s="343"/>
      <c r="G77" s="343"/>
      <c r="H77" s="343"/>
      <c r="I77" s="343"/>
      <c r="J77" s="343"/>
      <c r="K77" s="343"/>
      <c r="L77" s="343"/>
      <c r="M77" s="343"/>
      <c r="N77" s="669"/>
      <c r="AA77" s="343"/>
    </row>
    <row r="78" spans="6:27" ht="20.100000000000001" customHeight="1">
      <c r="F78" s="343"/>
      <c r="G78" s="343"/>
      <c r="H78" s="343"/>
      <c r="I78" s="343"/>
      <c r="J78" s="343"/>
      <c r="K78" s="343"/>
      <c r="L78" s="343"/>
      <c r="M78" s="343"/>
      <c r="AA78" s="343"/>
    </row>
    <row r="79" spans="6:27" ht="20.100000000000001" customHeight="1">
      <c r="F79" s="343"/>
      <c r="G79" s="343"/>
      <c r="H79" s="343"/>
      <c r="I79" s="343"/>
      <c r="J79" s="343"/>
      <c r="K79" s="343"/>
      <c r="L79" s="343"/>
      <c r="M79" s="343"/>
      <c r="AA79" s="343"/>
    </row>
    <row r="80" spans="6:27" ht="20.100000000000001" customHeight="1">
      <c r="F80" s="343"/>
      <c r="G80" s="343"/>
      <c r="H80" s="343"/>
      <c r="I80" s="343"/>
      <c r="J80" s="343"/>
      <c r="K80" s="343"/>
      <c r="L80" s="343"/>
      <c r="M80" s="343"/>
      <c r="AA80" s="343"/>
    </row>
    <row r="81" spans="6:13" ht="20.100000000000001" customHeight="1">
      <c r="F81" s="343"/>
      <c r="G81" s="343"/>
      <c r="H81" s="343"/>
      <c r="I81" s="343"/>
      <c r="J81" s="343"/>
      <c r="K81" s="343"/>
      <c r="L81" s="343"/>
      <c r="M81" s="343"/>
    </row>
    <row r="82" spans="6:13" ht="20.100000000000001" customHeight="1">
      <c r="F82" s="343"/>
      <c r="G82" s="343"/>
      <c r="H82" s="343"/>
      <c r="I82" s="343"/>
      <c r="J82" s="343"/>
      <c r="K82" s="343"/>
      <c r="L82" s="343"/>
      <c r="M82" s="343"/>
    </row>
    <row r="83" spans="6:13" ht="20.100000000000001" customHeight="1">
      <c r="F83" s="343"/>
      <c r="G83" s="343"/>
      <c r="H83" s="343"/>
      <c r="I83" s="343"/>
      <c r="J83" s="343"/>
      <c r="K83" s="343"/>
      <c r="L83" s="343"/>
      <c r="M83" s="343"/>
    </row>
    <row r="84" spans="6:13" ht="20.100000000000001" customHeight="1">
      <c r="F84" s="343"/>
      <c r="G84" s="343"/>
      <c r="H84" s="343"/>
      <c r="I84" s="343"/>
      <c r="J84" s="343"/>
      <c r="K84" s="343"/>
      <c r="L84" s="343"/>
      <c r="M84" s="343"/>
    </row>
    <row r="85" spans="6:13" ht="20.100000000000001" customHeight="1">
      <c r="F85" s="343"/>
      <c r="G85" s="343"/>
      <c r="H85" s="343"/>
      <c r="I85" s="343"/>
      <c r="J85" s="343"/>
      <c r="K85" s="343"/>
      <c r="L85" s="343"/>
      <c r="M85" s="343"/>
    </row>
    <row r="86" spans="6:13" ht="20.100000000000001" customHeight="1">
      <c r="F86" s="343"/>
      <c r="G86" s="343"/>
      <c r="H86" s="343"/>
      <c r="I86" s="343"/>
      <c r="J86" s="343"/>
      <c r="K86" s="343"/>
      <c r="L86" s="343"/>
      <c r="M86" s="343"/>
    </row>
    <row r="87" spans="6:13" ht="20.100000000000001" customHeight="1">
      <c r="F87" s="343"/>
      <c r="G87" s="343"/>
      <c r="H87" s="343"/>
      <c r="I87" s="343"/>
      <c r="J87" s="343"/>
      <c r="K87" s="343"/>
      <c r="L87" s="343"/>
      <c r="M87" s="343"/>
    </row>
    <row r="88" spans="6:13" ht="20.100000000000001" customHeight="1">
      <c r="F88" s="343"/>
      <c r="G88" s="343"/>
      <c r="H88" s="343"/>
      <c r="I88" s="343"/>
      <c r="J88" s="343"/>
      <c r="K88" s="343"/>
      <c r="L88" s="343"/>
      <c r="M88" s="343"/>
    </row>
    <row r="89" spans="6:13" ht="20.100000000000001" customHeight="1">
      <c r="F89" s="343"/>
      <c r="G89" s="343"/>
      <c r="H89" s="343"/>
      <c r="I89" s="343"/>
      <c r="J89" s="343"/>
      <c r="K89" s="343"/>
      <c r="L89" s="343"/>
      <c r="M89" s="343"/>
    </row>
    <row r="90" spans="6:13" ht="20.100000000000001" customHeight="1">
      <c r="F90" s="343"/>
      <c r="G90" s="343"/>
      <c r="H90" s="343"/>
      <c r="I90" s="343"/>
      <c r="J90" s="343"/>
      <c r="K90" s="343"/>
      <c r="L90" s="343"/>
      <c r="M90" s="343"/>
    </row>
    <row r="91" spans="6:13" ht="20.100000000000001" customHeight="1">
      <c r="F91" s="343"/>
      <c r="G91" s="343"/>
      <c r="H91" s="343"/>
      <c r="I91" s="343"/>
      <c r="J91" s="343"/>
      <c r="K91" s="343"/>
      <c r="L91" s="343"/>
      <c r="M91" s="343"/>
    </row>
    <row r="92" spans="6:13" ht="20.100000000000001" customHeight="1">
      <c r="F92" s="343"/>
      <c r="G92" s="343"/>
      <c r="H92" s="343"/>
      <c r="I92" s="343"/>
      <c r="J92" s="343"/>
      <c r="K92" s="343"/>
      <c r="L92" s="343"/>
      <c r="M92" s="343"/>
    </row>
    <row r="93" spans="6:13" ht="20.100000000000001" customHeight="1">
      <c r="F93" s="343"/>
      <c r="G93" s="343"/>
      <c r="H93" s="343"/>
      <c r="I93" s="343"/>
      <c r="J93" s="343"/>
      <c r="K93" s="343"/>
      <c r="L93" s="343"/>
      <c r="M93" s="343"/>
    </row>
    <row r="94" spans="6:13" ht="20.100000000000001" customHeight="1">
      <c r="F94" s="343"/>
      <c r="G94" s="343"/>
      <c r="H94" s="343"/>
      <c r="I94" s="343"/>
      <c r="J94" s="343"/>
      <c r="K94" s="343"/>
      <c r="L94" s="343"/>
      <c r="M94" s="343"/>
    </row>
    <row r="95" spans="6:13" ht="20.100000000000001" customHeight="1">
      <c r="F95" s="343"/>
      <c r="G95" s="343"/>
      <c r="H95" s="343"/>
      <c r="I95" s="343"/>
      <c r="J95" s="343"/>
      <c r="K95" s="343"/>
      <c r="L95" s="343"/>
      <c r="M95" s="343"/>
    </row>
    <row r="96" spans="6:13" ht="20.100000000000001" customHeight="1">
      <c r="F96" s="343"/>
      <c r="G96" s="343"/>
      <c r="H96" s="343"/>
      <c r="I96" s="343"/>
      <c r="J96" s="343"/>
    </row>
  </sheetData>
  <sheetProtection password="828E" sheet="1" objects="1" scenarios="1"/>
  <mergeCells count="9">
    <mergeCell ref="A31:D32"/>
    <mergeCell ref="A33:D35"/>
    <mergeCell ref="A18:A23"/>
    <mergeCell ref="A24:A29"/>
    <mergeCell ref="A1:D1"/>
    <mergeCell ref="A9:A15"/>
    <mergeCell ref="A2:D2"/>
    <mergeCell ref="A16:D16"/>
    <mergeCell ref="A4:A8"/>
  </mergeCells>
  <phoneticPr fontId="4"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sheetPr codeName="Sheet22"/>
  <dimension ref="A1:AE109"/>
  <sheetViews>
    <sheetView topLeftCell="A7" workbookViewId="0">
      <selection activeCell="C17" sqref="C17:C19"/>
    </sheetView>
  </sheetViews>
  <sheetFormatPr defaultColWidth="15.625" defaultRowHeight="20.100000000000001" customHeight="1"/>
  <cols>
    <col min="1" max="1" width="15.625" style="262"/>
    <col min="2" max="2" width="25.875" style="262" customWidth="1"/>
    <col min="3" max="3" width="15.625" style="263"/>
    <col min="4" max="4" width="16.625" style="262" customWidth="1"/>
    <col min="5" max="5" width="7.875" style="262" customWidth="1"/>
    <col min="6" max="18" width="10.625" style="262" customWidth="1"/>
    <col min="19" max="25" width="8.625" style="262" customWidth="1"/>
    <col min="26" max="16384" width="15.625" style="262"/>
  </cols>
  <sheetData>
    <row r="1" spans="1:29" ht="21.95" customHeight="1">
      <c r="A1" s="775" t="s">
        <v>2245</v>
      </c>
      <c r="B1" s="776"/>
      <c r="C1" s="776"/>
      <c r="D1" s="776"/>
    </row>
    <row r="2" spans="1:29" ht="20.100000000000001" customHeight="1">
      <c r="A2" s="266" t="s">
        <v>753</v>
      </c>
      <c r="B2" s="266" t="s">
        <v>754</v>
      </c>
      <c r="C2" s="653" t="s">
        <v>755</v>
      </c>
      <c r="D2" s="266" t="s">
        <v>762</v>
      </c>
      <c r="F2" s="333" t="s">
        <v>2217</v>
      </c>
    </row>
    <row r="3" spans="1:29" ht="20.100000000000001" customHeight="1">
      <c r="A3" s="1307" t="s">
        <v>2021</v>
      </c>
      <c r="B3" s="266" t="s">
        <v>1160</v>
      </c>
      <c r="C3" s="326">
        <v>10</v>
      </c>
      <c r="D3" s="266"/>
      <c r="F3" s="563" t="s">
        <v>2222</v>
      </c>
      <c r="G3" s="1314" t="s">
        <v>2216</v>
      </c>
      <c r="H3" s="1314"/>
      <c r="I3" s="1314"/>
      <c r="J3" s="1314"/>
      <c r="K3" s="263"/>
      <c r="L3" s="669"/>
      <c r="T3" s="342"/>
      <c r="U3" s="342"/>
      <c r="V3" s="342"/>
      <c r="W3" s="342"/>
      <c r="X3" s="342"/>
      <c r="Y3" s="342"/>
      <c r="Z3" s="342"/>
      <c r="AA3" s="342"/>
      <c r="AB3" s="342"/>
    </row>
    <row r="4" spans="1:29" ht="20.100000000000001" customHeight="1">
      <c r="A4" s="1014"/>
      <c r="B4" s="266" t="s">
        <v>2268</v>
      </c>
      <c r="C4" s="326">
        <v>1.6</v>
      </c>
      <c r="D4" s="345" t="s">
        <v>2203</v>
      </c>
      <c r="F4" s="1300" t="s">
        <v>2249</v>
      </c>
      <c r="G4" s="1301"/>
      <c r="H4" s="1301"/>
      <c r="I4" s="1301"/>
      <c r="J4" s="1302"/>
      <c r="K4" s="1303" t="s">
        <v>2250</v>
      </c>
      <c r="L4" s="1303"/>
      <c r="M4" s="1303"/>
      <c r="N4" s="1303"/>
      <c r="T4" s="342"/>
      <c r="U4" s="342"/>
      <c r="V4" s="342"/>
      <c r="W4" s="342"/>
      <c r="X4" s="342"/>
      <c r="Y4" s="342"/>
      <c r="Z4" s="342"/>
      <c r="AA4" s="342"/>
      <c r="AB4" s="342"/>
    </row>
    <row r="5" spans="1:29" ht="20.100000000000001" customHeight="1">
      <c r="A5" s="1014"/>
      <c r="B5" s="266" t="s">
        <v>2192</v>
      </c>
      <c r="C5" s="326">
        <v>1000</v>
      </c>
      <c r="D5" s="266"/>
      <c r="F5" s="355" t="s">
        <v>2204</v>
      </c>
      <c r="G5" s="1304" t="s">
        <v>2205</v>
      </c>
      <c r="H5" s="1305"/>
      <c r="I5" s="1306"/>
      <c r="J5" s="355" t="s">
        <v>2206</v>
      </c>
      <c r="K5" s="263"/>
      <c r="T5" s="342"/>
      <c r="U5" s="342"/>
      <c r="V5" s="342"/>
      <c r="W5" s="342"/>
      <c r="X5" s="342"/>
      <c r="Y5" s="342"/>
      <c r="Z5" s="342"/>
      <c r="AA5" s="342"/>
      <c r="AB5" s="342"/>
    </row>
    <row r="6" spans="1:29" ht="20.100000000000001" customHeight="1">
      <c r="A6" s="1014"/>
      <c r="B6" s="266" t="s">
        <v>1503</v>
      </c>
      <c r="C6" s="326">
        <v>300</v>
      </c>
      <c r="D6" s="266"/>
      <c r="F6" s="1316" t="s">
        <v>2207</v>
      </c>
      <c r="G6" s="1313" t="s">
        <v>2208</v>
      </c>
      <c r="H6" s="1313"/>
      <c r="I6" s="1313"/>
      <c r="J6" s="346" t="s">
        <v>2213</v>
      </c>
      <c r="U6" s="343"/>
      <c r="V6" s="343"/>
      <c r="W6" s="343"/>
      <c r="X6" s="343"/>
      <c r="Y6" s="343"/>
      <c r="Z6" s="343"/>
      <c r="AA6" s="343"/>
      <c r="AB6" s="343"/>
      <c r="AC6" s="343"/>
    </row>
    <row r="7" spans="1:29" ht="20.100000000000001" customHeight="1">
      <c r="A7" s="1015"/>
      <c r="B7" s="345" t="s">
        <v>2195</v>
      </c>
      <c r="C7" s="338" t="s">
        <v>2201</v>
      </c>
      <c r="D7" s="266"/>
      <c r="F7" s="1316"/>
      <c r="G7" s="1313" t="s">
        <v>2209</v>
      </c>
      <c r="H7" s="1313"/>
      <c r="I7" s="1313"/>
      <c r="J7" s="346" t="s">
        <v>898</v>
      </c>
      <c r="U7" s="344"/>
      <c r="V7" s="344"/>
      <c r="W7" s="344"/>
      <c r="X7" s="344"/>
      <c r="Y7" s="343"/>
      <c r="Z7" s="344"/>
      <c r="AA7" s="344"/>
      <c r="AB7" s="344"/>
      <c r="AC7" s="344"/>
    </row>
    <row r="8" spans="1:29" ht="20.100000000000001" customHeight="1">
      <c r="A8" s="1081" t="s">
        <v>2227</v>
      </c>
      <c r="B8" s="266" t="s">
        <v>2196</v>
      </c>
      <c r="C8" s="379">
        <f>SQRT(4*C5/PI()/C4)</f>
        <v>28.209479177387816</v>
      </c>
      <c r="D8" s="266" t="s">
        <v>2193</v>
      </c>
      <c r="F8" s="1316"/>
      <c r="G8" s="773" t="s">
        <v>2210</v>
      </c>
      <c r="H8" s="773"/>
      <c r="I8" s="773"/>
      <c r="J8" s="346" t="s">
        <v>2214</v>
      </c>
      <c r="U8" s="344"/>
      <c r="V8" s="344"/>
      <c r="W8" s="344"/>
      <c r="X8" s="344"/>
      <c r="Y8" s="349"/>
    </row>
    <row r="9" spans="1:29" ht="20.100000000000001" customHeight="1">
      <c r="A9" s="1082"/>
      <c r="B9" s="266" t="s">
        <v>2194</v>
      </c>
      <c r="C9" s="720">
        <v>14</v>
      </c>
      <c r="D9" s="266"/>
      <c r="F9" s="1316"/>
      <c r="G9" s="773" t="s">
        <v>2211</v>
      </c>
      <c r="H9" s="773"/>
      <c r="I9" s="773"/>
      <c r="J9" s="346" t="s">
        <v>899</v>
      </c>
      <c r="U9" s="344"/>
      <c r="V9" s="344"/>
      <c r="W9" s="344"/>
      <c r="X9" s="344"/>
      <c r="Y9" s="343"/>
      <c r="Z9" s="344"/>
      <c r="AA9" s="344"/>
    </row>
    <row r="10" spans="1:29" ht="20.100000000000001" customHeight="1">
      <c r="A10" s="1082"/>
      <c r="B10" s="266" t="s">
        <v>2197</v>
      </c>
      <c r="C10" s="379">
        <f>SQRT(4*C5/PI()/C4+C9^2)</f>
        <v>31.492454897315909</v>
      </c>
      <c r="D10" s="266"/>
      <c r="F10" s="773" t="s">
        <v>2251</v>
      </c>
      <c r="G10" s="773"/>
      <c r="H10" s="773"/>
      <c r="I10" s="773"/>
      <c r="J10" s="346" t="s">
        <v>709</v>
      </c>
      <c r="U10" s="344"/>
      <c r="V10" s="344"/>
      <c r="W10" s="344"/>
      <c r="X10" s="344"/>
      <c r="Y10" s="343"/>
      <c r="Z10" s="344"/>
      <c r="AA10" s="344"/>
      <c r="AB10" s="344"/>
    </row>
    <row r="11" spans="1:29" ht="20.100000000000001" customHeight="1">
      <c r="A11" s="1082"/>
      <c r="B11" s="266" t="s">
        <v>2202</v>
      </c>
      <c r="C11" s="549">
        <v>1.5</v>
      </c>
      <c r="D11" s="266" t="str">
        <f>"即将F0放大为"&amp;C11*C5&amp;"N"</f>
        <v>即将F0放大为1500N</v>
      </c>
      <c r="F11" s="773" t="s">
        <v>2212</v>
      </c>
      <c r="G11" s="773"/>
      <c r="H11" s="773"/>
      <c r="I11" s="773"/>
      <c r="J11" s="346" t="s">
        <v>2215</v>
      </c>
      <c r="S11" s="344"/>
      <c r="T11" s="344"/>
      <c r="U11" s="344"/>
      <c r="V11" s="344"/>
      <c r="W11" s="344"/>
      <c r="X11" s="344"/>
      <c r="Y11" s="344"/>
    </row>
    <row r="12" spans="1:29" ht="20.100000000000001" customHeight="1">
      <c r="A12" s="1082"/>
      <c r="B12" s="266" t="s">
        <v>2198</v>
      </c>
      <c r="C12" s="284">
        <f>IF(C7="推力驱动",SQRT(C11)*C8,SQRT(C11)*C10)</f>
        <v>38.570222623018587</v>
      </c>
      <c r="D12" s="266"/>
      <c r="F12" s="1304" t="s">
        <v>2252</v>
      </c>
      <c r="G12" s="1305"/>
      <c r="H12" s="1305"/>
      <c r="I12" s="1306"/>
      <c r="J12" s="346" t="s">
        <v>2253</v>
      </c>
      <c r="S12" s="344"/>
      <c r="T12" s="344"/>
      <c r="V12" s="344"/>
      <c r="W12" s="344"/>
      <c r="X12" s="344"/>
      <c r="Y12" s="344"/>
    </row>
    <row r="13" spans="1:29" ht="20.100000000000001" customHeight="1">
      <c r="A13" s="1082"/>
      <c r="B13" s="266" t="s">
        <v>2199</v>
      </c>
      <c r="C13" s="385">
        <v>40</v>
      </c>
      <c r="D13" s="266" t="s">
        <v>1545</v>
      </c>
      <c r="F13" s="343"/>
      <c r="G13" s="343"/>
      <c r="H13" s="343"/>
      <c r="Q13" s="344"/>
      <c r="R13" s="344"/>
      <c r="V13" s="344"/>
      <c r="W13" s="344"/>
      <c r="X13" s="344"/>
      <c r="Y13" s="344"/>
    </row>
    <row r="14" spans="1:29" ht="20.100000000000001" customHeight="1">
      <c r="A14" s="1082"/>
      <c r="B14" s="266" t="s">
        <v>2200</v>
      </c>
      <c r="C14" s="385">
        <v>18</v>
      </c>
      <c r="D14" s="266" t="s">
        <v>1545</v>
      </c>
      <c r="F14" s="349" t="s">
        <v>2225</v>
      </c>
      <c r="G14" s="343"/>
      <c r="H14" s="343"/>
      <c r="V14" s="344"/>
      <c r="W14" s="344"/>
      <c r="X14" s="344"/>
      <c r="Y14" s="344"/>
    </row>
    <row r="15" spans="1:29" ht="20.100000000000001" customHeight="1">
      <c r="A15" s="1083"/>
      <c r="B15" s="266" t="str">
        <f>"验算"&amp;IF(C7="推力驱动","安全系数下推力(N)","安全系数下拉力(N)")</f>
        <v>验算安全系数下拉力(N)</v>
      </c>
      <c r="C15" s="284">
        <f>IF(C7="推力驱动",PI()*C13^2*C4/4/C11,PI()*(C13^2-C14^2)*C4/4/C11)</f>
        <v>1068.9792602614871</v>
      </c>
      <c r="D15" s="562" t="str">
        <f>IF(C15&gt;=C5,"合格","不合格,请减小杆径或增大缸径")</f>
        <v>合格</v>
      </c>
      <c r="F15" s="376" t="s">
        <v>2218</v>
      </c>
      <c r="G15" s="1313" t="s">
        <v>2220</v>
      </c>
      <c r="H15" s="1313"/>
      <c r="I15" s="1313"/>
      <c r="J15" s="1313"/>
      <c r="K15" s="1313"/>
      <c r="L15" s="1313"/>
      <c r="M15" s="1313"/>
      <c r="N15" s="1313"/>
      <c r="O15" s="1313"/>
      <c r="P15" s="1313"/>
      <c r="Q15" s="1313"/>
      <c r="R15" s="1313"/>
      <c r="V15" s="344"/>
      <c r="W15" s="344"/>
      <c r="X15" s="344"/>
      <c r="Y15" s="344"/>
    </row>
    <row r="16" spans="1:29" ht="20.100000000000001" customHeight="1">
      <c r="A16" s="1073" t="s">
        <v>2223</v>
      </c>
      <c r="B16" s="266" t="s">
        <v>1503</v>
      </c>
      <c r="C16" s="653">
        <f>C6</f>
        <v>300</v>
      </c>
      <c r="D16" s="266"/>
      <c r="F16" s="376" t="s">
        <v>2219</v>
      </c>
      <c r="G16" s="1313" t="s">
        <v>2221</v>
      </c>
      <c r="H16" s="1313"/>
      <c r="I16" s="1313"/>
      <c r="J16" s="1313"/>
      <c r="K16" s="1313"/>
      <c r="L16" s="1313"/>
      <c r="M16" s="1313"/>
      <c r="N16" s="1313"/>
      <c r="O16" s="1313"/>
      <c r="P16" s="1313"/>
      <c r="Q16" s="1313"/>
      <c r="R16" s="1313"/>
      <c r="V16" s="344"/>
      <c r="W16" s="344"/>
      <c r="X16" s="344"/>
    </row>
    <row r="17" spans="1:26" ht="20.100000000000001" customHeight="1">
      <c r="A17" s="1073"/>
      <c r="B17" s="345" t="s">
        <v>2224</v>
      </c>
      <c r="C17" s="326">
        <v>400</v>
      </c>
      <c r="D17" s="380" t="s">
        <v>1209</v>
      </c>
      <c r="F17" s="399" t="s">
        <v>2247</v>
      </c>
      <c r="G17" s="343"/>
      <c r="H17" s="343"/>
      <c r="V17" s="344"/>
      <c r="W17" s="344"/>
      <c r="Y17" s="344"/>
    </row>
    <row r="18" spans="1:26" ht="20.100000000000001" customHeight="1">
      <c r="A18" s="1073"/>
      <c r="B18" s="345" t="s">
        <v>2226</v>
      </c>
      <c r="C18" s="338" t="s">
        <v>2230</v>
      </c>
      <c r="D18" s="266" t="s">
        <v>1319</v>
      </c>
      <c r="F18" s="343"/>
      <c r="G18" s="343"/>
      <c r="H18" s="343"/>
      <c r="V18" s="344"/>
      <c r="W18" s="344"/>
      <c r="X18" s="344"/>
      <c r="Y18" s="344"/>
    </row>
    <row r="19" spans="1:26" ht="20.100000000000001" customHeight="1">
      <c r="A19" s="657" t="s">
        <v>2246</v>
      </c>
      <c r="B19" s="345" t="s">
        <v>1187</v>
      </c>
      <c r="C19" s="338" t="s">
        <v>1241</v>
      </c>
      <c r="D19" s="335" t="s">
        <v>2241</v>
      </c>
      <c r="F19" s="343"/>
      <c r="G19" s="343"/>
      <c r="H19" s="343"/>
      <c r="V19" s="344"/>
      <c r="W19" s="344"/>
      <c r="X19" s="344"/>
      <c r="Y19" s="344"/>
    </row>
    <row r="20" spans="1:26" ht="20.100000000000001" customHeight="1">
      <c r="B20" s="566"/>
      <c r="C20" s="566"/>
      <c r="D20" s="566"/>
      <c r="F20" s="343"/>
      <c r="G20" s="343"/>
      <c r="H20" s="343"/>
      <c r="V20" s="344"/>
      <c r="W20" s="344"/>
      <c r="X20" s="344"/>
    </row>
    <row r="21" spans="1:26" ht="20.100000000000001" customHeight="1">
      <c r="A21" s="346" t="s">
        <v>2229</v>
      </c>
      <c r="B21" s="661"/>
      <c r="C21" s="661"/>
      <c r="D21" s="661"/>
      <c r="F21" s="343"/>
      <c r="G21" s="343"/>
      <c r="H21" s="343"/>
      <c r="V21" s="344"/>
      <c r="W21" s="344"/>
    </row>
    <row r="22" spans="1:26" ht="20.100000000000001" customHeight="1">
      <c r="A22" s="777" t="s">
        <v>2231</v>
      </c>
      <c r="B22" s="777" t="s">
        <v>2232</v>
      </c>
      <c r="C22" s="1312"/>
      <c r="D22" s="1312"/>
      <c r="F22" s="343"/>
      <c r="G22" s="343"/>
      <c r="H22" s="343"/>
      <c r="V22" s="344"/>
      <c r="W22" s="344"/>
    </row>
    <row r="23" spans="1:26" ht="20.100000000000001" customHeight="1">
      <c r="A23" s="777"/>
      <c r="B23" s="777"/>
      <c r="C23" s="1312"/>
      <c r="D23" s="1312"/>
      <c r="F23" s="343"/>
      <c r="G23" s="343"/>
      <c r="H23" s="343"/>
      <c r="V23" s="344"/>
      <c r="W23" s="344"/>
      <c r="Y23" s="343"/>
    </row>
    <row r="24" spans="1:26" ht="20.100000000000001" customHeight="1">
      <c r="A24" s="777"/>
      <c r="B24" s="777"/>
      <c r="C24" s="1312"/>
      <c r="D24" s="1312"/>
      <c r="F24" s="343"/>
      <c r="G24" s="343"/>
      <c r="H24" s="343"/>
      <c r="U24" s="343"/>
      <c r="V24" s="344"/>
      <c r="W24" s="344"/>
      <c r="X24" s="343"/>
      <c r="Z24" s="343"/>
    </row>
    <row r="25" spans="1:26" ht="20.100000000000001" customHeight="1">
      <c r="A25" s="777" t="s">
        <v>2239</v>
      </c>
      <c r="B25" s="777" t="s">
        <v>2233</v>
      </c>
      <c r="C25" s="1308"/>
      <c r="D25" s="1308"/>
      <c r="F25" s="343"/>
      <c r="G25" s="343"/>
      <c r="H25" s="343"/>
      <c r="O25" s="343"/>
      <c r="S25" s="343"/>
      <c r="T25" s="343"/>
      <c r="Z25" s="343"/>
    </row>
    <row r="26" spans="1:26" ht="20.100000000000001" customHeight="1">
      <c r="A26" s="777"/>
      <c r="B26" s="1311"/>
      <c r="C26" s="1308"/>
      <c r="D26" s="1308"/>
      <c r="F26" s="343"/>
      <c r="G26" s="343"/>
      <c r="H26" s="343"/>
      <c r="O26" s="343"/>
      <c r="P26" s="343"/>
      <c r="Q26" s="343"/>
      <c r="R26" s="343"/>
      <c r="Z26" s="343"/>
    </row>
    <row r="27" spans="1:26" ht="20.100000000000001" customHeight="1">
      <c r="A27" s="777"/>
      <c r="B27" s="1311"/>
      <c r="C27" s="1308"/>
      <c r="D27" s="1308"/>
      <c r="F27" s="343"/>
      <c r="G27" s="343"/>
      <c r="H27" s="343"/>
      <c r="Z27" s="343"/>
    </row>
    <row r="28" spans="1:26" ht="20.100000000000001" customHeight="1">
      <c r="A28" s="777" t="s">
        <v>2240</v>
      </c>
      <c r="B28" s="913" t="s">
        <v>2234</v>
      </c>
      <c r="C28" s="1308"/>
      <c r="D28" s="1308"/>
      <c r="F28" s="343"/>
      <c r="G28" s="343"/>
      <c r="H28" s="343"/>
      <c r="Z28" s="343"/>
    </row>
    <row r="29" spans="1:26" ht="20.100000000000001" customHeight="1">
      <c r="A29" s="777"/>
      <c r="B29" s="913"/>
      <c r="C29" s="1308"/>
      <c r="D29" s="1308"/>
      <c r="F29" s="343"/>
      <c r="G29" s="343"/>
      <c r="H29" s="343"/>
      <c r="Z29" s="343"/>
    </row>
    <row r="30" spans="1:26" ht="20.100000000000001" customHeight="1">
      <c r="A30" s="777"/>
      <c r="B30" s="913"/>
      <c r="C30" s="1308"/>
      <c r="D30" s="1308"/>
      <c r="F30" s="343"/>
      <c r="G30" s="343"/>
      <c r="H30" s="343"/>
      <c r="Z30" s="343"/>
    </row>
    <row r="31" spans="1:26" ht="20.100000000000001" customHeight="1">
      <c r="A31" s="777"/>
      <c r="B31" s="777" t="s">
        <v>2235</v>
      </c>
      <c r="C31" s="1308"/>
      <c r="D31" s="1308"/>
      <c r="F31" s="343"/>
      <c r="G31" s="343"/>
      <c r="H31" s="343"/>
      <c r="N31" s="333"/>
      <c r="Z31" s="343"/>
    </row>
    <row r="32" spans="1:26" ht="20.100000000000001" customHeight="1">
      <c r="A32" s="777"/>
      <c r="B32" s="777"/>
      <c r="C32" s="1308"/>
      <c r="D32" s="1308"/>
      <c r="F32" s="343"/>
      <c r="G32" s="343"/>
      <c r="H32" s="343"/>
      <c r="Z32" s="343"/>
    </row>
    <row r="33" spans="1:27" ht="20.100000000000001" customHeight="1">
      <c r="A33" s="777"/>
      <c r="B33" s="777" t="s">
        <v>2236</v>
      </c>
      <c r="C33" s="1308"/>
      <c r="D33" s="1308"/>
      <c r="F33" s="343"/>
      <c r="G33" s="343"/>
      <c r="H33" s="343"/>
      <c r="AA33" s="343"/>
    </row>
    <row r="34" spans="1:27" ht="20.100000000000001" customHeight="1">
      <c r="A34" s="777"/>
      <c r="B34" s="777"/>
      <c r="C34" s="1308"/>
      <c r="D34" s="1308"/>
      <c r="F34" s="343"/>
      <c r="G34" s="343"/>
      <c r="H34" s="343"/>
      <c r="AA34" s="343"/>
    </row>
    <row r="35" spans="1:27" ht="20.100000000000001" customHeight="1">
      <c r="A35" s="777" t="s">
        <v>2237</v>
      </c>
      <c r="B35" s="777" t="s">
        <v>2238</v>
      </c>
      <c r="C35" s="1308"/>
      <c r="D35" s="1308"/>
      <c r="G35" s="343"/>
      <c r="H35" s="343"/>
      <c r="AA35" s="343"/>
    </row>
    <row r="36" spans="1:27" ht="20.100000000000001" customHeight="1">
      <c r="A36" s="777"/>
      <c r="B36" s="777"/>
      <c r="C36" s="1308"/>
      <c r="D36" s="1308"/>
      <c r="F36" s="343" t="s">
        <v>2228</v>
      </c>
      <c r="G36" s="343"/>
      <c r="H36" s="343"/>
      <c r="AA36" s="343"/>
    </row>
    <row r="37" spans="1:27" ht="20.100000000000001" customHeight="1">
      <c r="A37" s="777"/>
      <c r="B37" s="777"/>
      <c r="C37" s="1308"/>
      <c r="D37" s="1308"/>
      <c r="F37" s="343"/>
      <c r="G37" s="343"/>
      <c r="H37" s="343"/>
      <c r="AA37" s="343"/>
    </row>
    <row r="38" spans="1:27" ht="20.100000000000001" customHeight="1">
      <c r="A38" s="1309"/>
      <c r="B38" s="1309"/>
      <c r="C38" s="1310"/>
      <c r="D38" s="1310"/>
      <c r="F38" s="343"/>
      <c r="G38" s="343"/>
      <c r="H38" s="343"/>
      <c r="AA38" s="343"/>
    </row>
    <row r="39" spans="1:27" ht="20.100000000000001" customHeight="1">
      <c r="A39" s="567"/>
      <c r="B39" s="568"/>
      <c r="C39" s="564"/>
      <c r="D39" s="569"/>
      <c r="F39" s="343"/>
      <c r="G39" s="343"/>
      <c r="H39" s="343"/>
      <c r="AA39" s="343"/>
    </row>
    <row r="40" spans="1:27" ht="20.100000000000001" customHeight="1">
      <c r="A40" s="1315" t="s">
        <v>2243</v>
      </c>
      <c r="B40" s="1315"/>
      <c r="C40" s="1315"/>
      <c r="D40" s="1315"/>
      <c r="F40" s="343"/>
      <c r="G40" s="343"/>
      <c r="H40" s="343"/>
      <c r="AA40" s="343"/>
    </row>
    <row r="41" spans="1:27" ht="20.100000000000001" customHeight="1">
      <c r="A41" s="1225"/>
      <c r="B41" s="1225"/>
      <c r="C41" s="1225"/>
      <c r="D41" s="1225"/>
      <c r="F41" s="343"/>
      <c r="G41" s="343"/>
      <c r="H41" s="343"/>
      <c r="AA41" s="343"/>
    </row>
    <row r="42" spans="1:27" ht="20.100000000000001" customHeight="1">
      <c r="A42" s="1225"/>
      <c r="B42" s="1225"/>
      <c r="C42" s="1225"/>
      <c r="D42" s="1225"/>
      <c r="F42" s="343"/>
      <c r="G42" s="343"/>
      <c r="H42" s="343"/>
      <c r="AA42" s="343"/>
    </row>
    <row r="43" spans="1:27" ht="20.100000000000001" customHeight="1">
      <c r="A43" s="1225"/>
      <c r="B43" s="1225"/>
      <c r="C43" s="1225"/>
      <c r="D43" s="1225"/>
      <c r="F43" s="343"/>
      <c r="G43" s="343"/>
      <c r="H43" s="343"/>
      <c r="AA43" s="343"/>
    </row>
    <row r="44" spans="1:27" ht="20.100000000000001" customHeight="1">
      <c r="A44" s="1225"/>
      <c r="B44" s="1225"/>
      <c r="C44" s="1225"/>
      <c r="D44" s="1225"/>
      <c r="F44" s="343"/>
      <c r="G44" s="343"/>
      <c r="H44" s="343"/>
      <c r="AA44" s="343"/>
    </row>
    <row r="45" spans="1:27" ht="20.100000000000001" customHeight="1">
      <c r="A45" s="1225"/>
      <c r="B45" s="1225"/>
      <c r="C45" s="1225"/>
      <c r="D45" s="1225"/>
      <c r="F45" s="399" t="s">
        <v>2248</v>
      </c>
      <c r="G45" s="343"/>
      <c r="H45" s="343"/>
      <c r="M45" s="384"/>
      <c r="N45" s="333"/>
      <c r="AA45" s="343"/>
    </row>
    <row r="46" spans="1:27" ht="20.100000000000001" customHeight="1">
      <c r="A46" s="1225"/>
      <c r="B46" s="1225"/>
      <c r="C46" s="1225"/>
      <c r="D46" s="1225"/>
      <c r="F46" s="349"/>
      <c r="G46" s="343"/>
      <c r="H46" s="367"/>
      <c r="I46" s="367"/>
      <c r="J46" s="367"/>
      <c r="K46" s="384"/>
      <c r="L46" s="384"/>
      <c r="M46" s="384"/>
      <c r="AA46" s="343"/>
    </row>
    <row r="47" spans="1:27" ht="20.100000000000001" customHeight="1">
      <c r="A47" s="1225"/>
      <c r="B47" s="1225"/>
      <c r="C47" s="1225"/>
      <c r="D47" s="1225"/>
      <c r="F47" s="349"/>
      <c r="G47" s="343"/>
      <c r="H47" s="367"/>
      <c r="I47" s="367"/>
      <c r="J47" s="367"/>
      <c r="K47" s="384"/>
      <c r="L47" s="384"/>
      <c r="M47" s="367"/>
      <c r="AA47" s="343"/>
    </row>
    <row r="48" spans="1:27" ht="20.100000000000001" customHeight="1">
      <c r="A48" s="1225"/>
      <c r="B48" s="1225"/>
      <c r="C48" s="1225"/>
      <c r="D48" s="1225"/>
      <c r="F48" s="349"/>
      <c r="G48" s="343"/>
      <c r="H48" s="367"/>
      <c r="I48" s="367"/>
      <c r="J48" s="367"/>
      <c r="K48" s="367"/>
      <c r="L48" s="367"/>
      <c r="M48" s="343"/>
      <c r="AA48" s="343"/>
    </row>
    <row r="49" spans="1:31" ht="20.100000000000001" customHeight="1">
      <c r="A49" s="1225"/>
      <c r="B49" s="1225"/>
      <c r="C49" s="1225"/>
      <c r="D49" s="1225"/>
      <c r="F49" s="349"/>
      <c r="G49" s="343"/>
      <c r="H49" s="367"/>
      <c r="I49" s="367"/>
      <c r="J49" s="367"/>
      <c r="K49" s="343"/>
      <c r="L49" s="343"/>
      <c r="M49" s="343"/>
      <c r="AA49" s="343"/>
    </row>
    <row r="50" spans="1:31" ht="20.100000000000001" customHeight="1">
      <c r="A50" s="1225"/>
      <c r="B50" s="1225"/>
      <c r="C50" s="1225"/>
      <c r="D50" s="1225"/>
      <c r="F50" s="343"/>
      <c r="G50" s="343"/>
      <c r="H50" s="343"/>
      <c r="I50" s="343"/>
      <c r="J50" s="343"/>
      <c r="K50" s="343"/>
      <c r="L50" s="343"/>
      <c r="M50" s="343"/>
      <c r="AA50" s="343"/>
    </row>
    <row r="51" spans="1:31" ht="20.100000000000001" customHeight="1">
      <c r="A51" s="565" t="s">
        <v>2242</v>
      </c>
      <c r="B51" s="662"/>
      <c r="C51" s="662"/>
      <c r="D51" s="662"/>
      <c r="F51" s="349"/>
      <c r="G51" s="343"/>
      <c r="H51" s="343"/>
      <c r="I51" s="343"/>
      <c r="J51" s="343"/>
      <c r="K51" s="343"/>
      <c r="L51" s="343"/>
      <c r="M51" s="343"/>
      <c r="Z51" s="343"/>
    </row>
    <row r="52" spans="1:31" ht="20.100000000000001" customHeight="1">
      <c r="A52" s="662"/>
      <c r="B52" s="662"/>
      <c r="C52" s="662"/>
      <c r="D52" s="662"/>
      <c r="F52" s="343"/>
      <c r="G52" s="343"/>
      <c r="H52" s="343"/>
      <c r="I52" s="343"/>
      <c r="J52" s="343"/>
      <c r="K52" s="343"/>
      <c r="L52" s="343"/>
      <c r="M52" s="343"/>
      <c r="Z52" s="343"/>
    </row>
    <row r="53" spans="1:31" ht="20.100000000000001" customHeight="1">
      <c r="A53" s="662"/>
      <c r="B53" s="662"/>
      <c r="C53" s="662"/>
      <c r="D53" s="662"/>
      <c r="E53" s="382"/>
      <c r="F53" s="343"/>
      <c r="G53" s="343"/>
      <c r="H53" s="343"/>
      <c r="I53" s="343"/>
      <c r="J53" s="343"/>
      <c r="K53" s="343"/>
      <c r="L53" s="343"/>
      <c r="M53" s="343"/>
      <c r="Z53" s="343"/>
    </row>
    <row r="54" spans="1:31" ht="20.100000000000001" customHeight="1">
      <c r="A54" s="662"/>
      <c r="B54" s="662"/>
      <c r="C54" s="662"/>
      <c r="D54" s="662"/>
      <c r="F54" s="343"/>
      <c r="G54" s="343"/>
      <c r="H54" s="343"/>
      <c r="I54" s="343"/>
      <c r="J54" s="343"/>
      <c r="K54" s="343"/>
      <c r="L54" s="343"/>
      <c r="M54" s="343"/>
      <c r="Z54" s="343"/>
    </row>
    <row r="55" spans="1:31" ht="20.100000000000001" customHeight="1">
      <c r="A55" s="662"/>
      <c r="B55" s="662"/>
      <c r="C55" s="662"/>
      <c r="D55" s="662"/>
      <c r="F55" s="343"/>
      <c r="G55" s="343"/>
      <c r="H55" s="343"/>
      <c r="I55" s="343"/>
      <c r="J55" s="343"/>
      <c r="K55" s="343"/>
      <c r="L55" s="343"/>
      <c r="M55" s="343"/>
      <c r="AD55" s="343"/>
    </row>
    <row r="56" spans="1:31" ht="20.100000000000001" customHeight="1">
      <c r="A56" s="662"/>
      <c r="B56" s="662"/>
      <c r="C56" s="662"/>
      <c r="D56" s="662"/>
      <c r="G56" s="263"/>
      <c r="J56" s="343"/>
      <c r="K56" s="343"/>
      <c r="L56" s="343"/>
      <c r="M56" s="343"/>
      <c r="N56" s="343"/>
      <c r="O56" s="343"/>
      <c r="P56" s="343"/>
      <c r="Q56" s="343"/>
      <c r="AD56" s="343"/>
    </row>
    <row r="57" spans="1:31" ht="20.100000000000001" customHeight="1">
      <c r="A57" s="662"/>
      <c r="B57" s="662"/>
      <c r="C57" s="662"/>
      <c r="D57" s="662"/>
      <c r="G57" s="263"/>
      <c r="J57" s="343"/>
      <c r="K57" s="343"/>
      <c r="L57" s="343"/>
      <c r="M57" s="343"/>
      <c r="N57" s="343"/>
      <c r="O57" s="343"/>
      <c r="P57" s="343"/>
      <c r="Q57" s="343"/>
      <c r="R57" s="343"/>
      <c r="AD57" s="343"/>
    </row>
    <row r="58" spans="1:31" ht="20.100000000000001" customHeight="1">
      <c r="A58" s="662"/>
      <c r="B58" s="662"/>
      <c r="C58" s="662"/>
      <c r="D58" s="662"/>
      <c r="G58" s="263"/>
      <c r="J58" s="343"/>
      <c r="K58" s="343"/>
      <c r="L58" s="343"/>
      <c r="M58" s="343"/>
      <c r="N58" s="343"/>
      <c r="O58" s="343"/>
      <c r="P58" s="343"/>
      <c r="Q58" s="343"/>
      <c r="S58" s="343"/>
      <c r="AD58" s="343"/>
      <c r="AE58" s="343"/>
    </row>
    <row r="59" spans="1:31" ht="20.100000000000001" customHeight="1">
      <c r="A59" s="662"/>
      <c r="B59" s="662"/>
      <c r="C59" s="662"/>
      <c r="D59" s="662"/>
      <c r="G59" s="263"/>
      <c r="J59" s="343"/>
      <c r="K59" s="343"/>
      <c r="L59" s="343"/>
      <c r="M59" s="343"/>
      <c r="N59" s="343"/>
      <c r="O59" s="343"/>
      <c r="P59" s="343"/>
      <c r="Q59" s="343"/>
    </row>
    <row r="60" spans="1:31" ht="20.100000000000001" customHeight="1">
      <c r="A60" s="662"/>
      <c r="B60" s="662"/>
      <c r="C60" s="662"/>
      <c r="D60" s="662"/>
      <c r="F60" s="660"/>
      <c r="G60" s="660"/>
      <c r="H60" s="660"/>
      <c r="J60" s="343"/>
      <c r="K60" s="343"/>
      <c r="L60" s="343"/>
      <c r="M60" s="343"/>
      <c r="N60" s="343"/>
      <c r="O60" s="343"/>
      <c r="P60" s="343"/>
      <c r="Q60" s="343"/>
      <c r="AA60" s="343"/>
    </row>
    <row r="61" spans="1:31" ht="20.100000000000001" customHeight="1">
      <c r="C61" s="262"/>
      <c r="F61" s="343"/>
      <c r="G61" s="343"/>
      <c r="H61" s="343"/>
      <c r="I61" s="343"/>
      <c r="J61" s="343"/>
      <c r="K61" s="343"/>
      <c r="L61" s="343"/>
      <c r="M61" s="343"/>
      <c r="AA61" s="343"/>
    </row>
    <row r="62" spans="1:31" ht="20.100000000000001" customHeight="1">
      <c r="C62" s="262"/>
      <c r="F62" s="343"/>
      <c r="G62" s="343"/>
      <c r="H62" s="343"/>
      <c r="I62" s="343"/>
      <c r="J62" s="343"/>
      <c r="K62" s="343"/>
      <c r="L62" s="343"/>
      <c r="M62" s="343"/>
      <c r="AA62" s="343"/>
    </row>
    <row r="63" spans="1:31" ht="20.100000000000001" customHeight="1">
      <c r="C63" s="262"/>
      <c r="F63" s="343"/>
      <c r="G63" s="343"/>
      <c r="H63" s="343"/>
      <c r="I63" s="343"/>
      <c r="J63" s="343"/>
      <c r="K63" s="343"/>
      <c r="L63" s="343"/>
      <c r="M63" s="343"/>
      <c r="AA63" s="343"/>
    </row>
    <row r="64" spans="1:31" ht="20.100000000000001" customHeight="1">
      <c r="C64" s="262"/>
      <c r="F64" s="343"/>
      <c r="G64" s="343"/>
      <c r="H64" s="343"/>
      <c r="I64" s="343"/>
      <c r="J64" s="343"/>
      <c r="K64" s="343"/>
      <c r="L64" s="343"/>
      <c r="M64" s="343"/>
      <c r="AA64" s="343"/>
    </row>
    <row r="65" spans="1:27" ht="20.100000000000001" customHeight="1">
      <c r="C65" s="262"/>
      <c r="F65" s="343"/>
      <c r="G65" s="343"/>
      <c r="H65" s="343"/>
      <c r="I65" s="343"/>
      <c r="J65" s="343"/>
      <c r="K65" s="343"/>
      <c r="L65" s="343"/>
      <c r="M65" s="343"/>
      <c r="AA65" s="343"/>
    </row>
    <row r="66" spans="1:27" ht="20.100000000000001" customHeight="1">
      <c r="A66" s="1227" t="s">
        <v>2244</v>
      </c>
      <c r="B66" s="1227"/>
      <c r="C66" s="1227"/>
      <c r="D66" s="1227"/>
      <c r="F66" s="343"/>
      <c r="G66" s="343"/>
      <c r="H66" s="343"/>
      <c r="I66" s="343"/>
      <c r="J66" s="343"/>
      <c r="K66" s="343"/>
      <c r="L66" s="343"/>
      <c r="M66" s="343"/>
      <c r="AA66" s="343"/>
    </row>
    <row r="67" spans="1:27" ht="20.100000000000001" customHeight="1">
      <c r="A67" s="1227"/>
      <c r="B67" s="1227"/>
      <c r="C67" s="1227"/>
      <c r="D67" s="1227"/>
      <c r="F67" s="343"/>
      <c r="G67" s="343"/>
      <c r="H67" s="343"/>
      <c r="I67" s="343"/>
      <c r="J67" s="343"/>
      <c r="K67" s="343"/>
      <c r="L67" s="343"/>
      <c r="M67" s="343"/>
      <c r="AA67" s="343"/>
    </row>
    <row r="68" spans="1:27" ht="20.100000000000001" customHeight="1">
      <c r="A68" s="1227"/>
      <c r="B68" s="1227"/>
      <c r="C68" s="1227"/>
      <c r="D68" s="1227"/>
      <c r="F68" s="343"/>
      <c r="G68" s="343"/>
      <c r="H68" s="343"/>
      <c r="I68" s="343"/>
      <c r="J68" s="343"/>
      <c r="K68" s="343"/>
      <c r="L68" s="343"/>
      <c r="M68" s="343"/>
      <c r="AA68" s="343"/>
    </row>
    <row r="69" spans="1:27" ht="20.100000000000001" customHeight="1">
      <c r="A69" s="1227"/>
      <c r="B69" s="1227"/>
      <c r="C69" s="1227"/>
      <c r="D69" s="1227"/>
      <c r="F69" s="343"/>
      <c r="G69" s="343"/>
      <c r="H69" s="343"/>
      <c r="I69" s="343"/>
      <c r="J69" s="343"/>
      <c r="K69" s="343"/>
      <c r="L69" s="343"/>
      <c r="M69" s="343"/>
      <c r="AA69" s="343"/>
    </row>
    <row r="70" spans="1:27" ht="20.100000000000001" customHeight="1">
      <c r="A70" s="389"/>
      <c r="B70" s="389"/>
      <c r="C70" s="389"/>
      <c r="D70" s="389"/>
      <c r="F70" s="343"/>
      <c r="G70" s="343"/>
      <c r="H70" s="343"/>
      <c r="I70" s="343"/>
      <c r="J70" s="343"/>
      <c r="K70" s="343"/>
      <c r="L70" s="343"/>
      <c r="M70" s="343"/>
      <c r="AA70" s="343"/>
    </row>
    <row r="71" spans="1:27" ht="20.100000000000001" customHeight="1">
      <c r="A71" s="652"/>
      <c r="B71" s="652"/>
      <c r="C71" s="652"/>
      <c r="D71" s="652"/>
      <c r="F71" s="343"/>
      <c r="G71" s="343"/>
      <c r="H71" s="343"/>
      <c r="I71" s="343"/>
      <c r="J71" s="343"/>
      <c r="K71" s="343"/>
      <c r="L71" s="343"/>
      <c r="M71" s="343"/>
      <c r="AA71" s="343"/>
    </row>
    <row r="72" spans="1:27" ht="20.100000000000001" customHeight="1">
      <c r="A72" s="652"/>
      <c r="B72" s="652"/>
      <c r="C72" s="652"/>
      <c r="D72" s="652"/>
      <c r="F72" s="343"/>
      <c r="G72" s="343"/>
      <c r="H72" s="343"/>
      <c r="I72" s="343"/>
      <c r="J72" s="343"/>
      <c r="K72" s="343"/>
      <c r="L72" s="343"/>
      <c r="M72" s="343"/>
      <c r="AA72" s="343"/>
    </row>
    <row r="73" spans="1:27" ht="20.100000000000001" customHeight="1">
      <c r="A73" s="652"/>
      <c r="F73" s="343"/>
      <c r="G73" s="343"/>
      <c r="H73" s="343"/>
      <c r="I73" s="343"/>
      <c r="J73" s="343"/>
      <c r="K73" s="343"/>
      <c r="L73" s="343"/>
      <c r="M73" s="343"/>
      <c r="AA73" s="343"/>
    </row>
    <row r="74" spans="1:27" ht="20.100000000000001" customHeight="1">
      <c r="F74" s="343"/>
      <c r="G74" s="343"/>
      <c r="H74" s="343"/>
      <c r="I74" s="343"/>
      <c r="J74" s="343"/>
      <c r="K74" s="343"/>
      <c r="L74" s="343"/>
      <c r="M74" s="343"/>
      <c r="AA74" s="343"/>
    </row>
    <row r="75" spans="1:27" ht="20.100000000000001" customHeight="1">
      <c r="F75" s="343"/>
      <c r="G75" s="343"/>
      <c r="H75" s="343"/>
      <c r="I75" s="343"/>
      <c r="J75" s="343"/>
      <c r="K75" s="343"/>
      <c r="L75" s="343"/>
      <c r="M75" s="343"/>
      <c r="AA75" s="343"/>
    </row>
    <row r="76" spans="1:27" ht="20.100000000000001" customHeight="1">
      <c r="F76" s="343"/>
      <c r="G76" s="343"/>
      <c r="H76" s="343"/>
      <c r="I76" s="343"/>
      <c r="J76" s="343"/>
      <c r="K76" s="343"/>
      <c r="L76" s="343"/>
      <c r="M76" s="343"/>
      <c r="AA76" s="343"/>
    </row>
    <row r="77" spans="1:27" ht="20.100000000000001" customHeight="1">
      <c r="F77" s="343"/>
      <c r="G77" s="343"/>
      <c r="H77" s="343"/>
      <c r="I77" s="343"/>
      <c r="J77" s="343"/>
      <c r="K77" s="343"/>
      <c r="L77" s="343"/>
      <c r="M77" s="343"/>
      <c r="AA77" s="343"/>
    </row>
    <row r="78" spans="1:27" ht="20.100000000000001" customHeight="1">
      <c r="F78" s="343"/>
      <c r="G78" s="343"/>
      <c r="H78" s="343"/>
      <c r="I78" s="343"/>
      <c r="J78" s="343"/>
      <c r="K78" s="343"/>
      <c r="L78" s="343"/>
      <c r="M78" s="343"/>
      <c r="AA78" s="343"/>
    </row>
    <row r="79" spans="1:27" ht="20.100000000000001" customHeight="1">
      <c r="F79" s="343"/>
      <c r="G79" s="343"/>
      <c r="H79" s="343"/>
      <c r="I79" s="343"/>
      <c r="J79" s="343"/>
      <c r="K79" s="343"/>
      <c r="L79" s="343"/>
      <c r="M79" s="343"/>
      <c r="AA79" s="343"/>
    </row>
    <row r="80" spans="1:27" ht="20.100000000000001" customHeight="1">
      <c r="F80" s="343"/>
      <c r="G80" s="343"/>
      <c r="H80" s="343"/>
      <c r="I80" s="343"/>
      <c r="J80" s="343"/>
      <c r="K80" s="343"/>
      <c r="L80" s="343"/>
      <c r="M80" s="343"/>
      <c r="AA80" s="343"/>
    </row>
    <row r="81" spans="6:27" ht="20.100000000000001" customHeight="1">
      <c r="F81" s="343"/>
      <c r="G81" s="343"/>
      <c r="H81" s="343"/>
      <c r="I81" s="343"/>
      <c r="J81" s="343"/>
      <c r="K81" s="343"/>
      <c r="L81" s="343"/>
      <c r="M81" s="343"/>
      <c r="AA81" s="343"/>
    </row>
    <row r="82" spans="6:27" ht="20.100000000000001" customHeight="1">
      <c r="F82" s="343"/>
      <c r="G82" s="343"/>
      <c r="H82" s="343"/>
      <c r="I82" s="343"/>
      <c r="J82" s="343"/>
      <c r="K82" s="343"/>
      <c r="L82" s="343"/>
      <c r="M82" s="343"/>
      <c r="AA82" s="343"/>
    </row>
    <row r="83" spans="6:27" ht="20.100000000000001" customHeight="1">
      <c r="F83" s="343"/>
      <c r="G83" s="343"/>
      <c r="H83" s="343"/>
      <c r="I83" s="343"/>
      <c r="J83" s="343"/>
      <c r="K83" s="343"/>
      <c r="L83" s="343"/>
      <c r="M83" s="343"/>
      <c r="AA83" s="343"/>
    </row>
    <row r="84" spans="6:27" ht="20.100000000000001" customHeight="1">
      <c r="F84" s="343"/>
      <c r="G84" s="343"/>
      <c r="H84" s="343"/>
      <c r="I84" s="343"/>
      <c r="J84" s="343"/>
      <c r="K84" s="343"/>
      <c r="L84" s="343"/>
      <c r="M84" s="343"/>
      <c r="N84" s="669"/>
      <c r="AA84" s="343"/>
    </row>
    <row r="85" spans="6:27" ht="20.100000000000001" customHeight="1">
      <c r="F85" s="343"/>
      <c r="G85" s="343"/>
      <c r="H85" s="343"/>
      <c r="I85" s="343"/>
      <c r="J85" s="343"/>
      <c r="K85" s="343"/>
      <c r="L85" s="343"/>
      <c r="M85" s="343"/>
      <c r="N85" s="669"/>
      <c r="AA85" s="343"/>
    </row>
    <row r="86" spans="6:27" ht="20.100000000000001" customHeight="1">
      <c r="F86" s="343"/>
      <c r="G86" s="343"/>
      <c r="H86" s="343"/>
      <c r="I86" s="343"/>
      <c r="J86" s="343"/>
      <c r="K86" s="343"/>
      <c r="L86" s="343"/>
      <c r="M86" s="343"/>
      <c r="N86" s="669"/>
      <c r="AA86" s="343"/>
    </row>
    <row r="87" spans="6:27" ht="20.100000000000001" customHeight="1">
      <c r="F87" s="343"/>
      <c r="G87" s="343"/>
      <c r="H87" s="343"/>
      <c r="I87" s="343"/>
      <c r="J87" s="343"/>
      <c r="K87" s="343"/>
      <c r="L87" s="343"/>
      <c r="M87" s="343"/>
      <c r="N87" s="669"/>
      <c r="AA87" s="343"/>
    </row>
    <row r="88" spans="6:27" ht="20.100000000000001" customHeight="1">
      <c r="F88" s="343"/>
      <c r="G88" s="343"/>
      <c r="H88" s="343"/>
      <c r="I88" s="343"/>
      <c r="J88" s="343"/>
      <c r="K88" s="343"/>
      <c r="L88" s="343"/>
      <c r="M88" s="343"/>
      <c r="N88" s="669"/>
      <c r="AA88" s="343"/>
    </row>
    <row r="89" spans="6:27" ht="20.100000000000001" customHeight="1">
      <c r="F89" s="343"/>
      <c r="G89" s="343"/>
      <c r="H89" s="343"/>
      <c r="I89" s="343"/>
      <c r="J89" s="343"/>
      <c r="K89" s="343"/>
      <c r="L89" s="343"/>
      <c r="M89" s="343"/>
      <c r="N89" s="669"/>
      <c r="AA89" s="343"/>
    </row>
    <row r="90" spans="6:27" ht="20.100000000000001" customHeight="1">
      <c r="F90" s="343"/>
      <c r="G90" s="343"/>
      <c r="H90" s="343"/>
      <c r="I90" s="343"/>
      <c r="J90" s="343"/>
      <c r="K90" s="343"/>
      <c r="L90" s="343"/>
      <c r="M90" s="343"/>
      <c r="AA90" s="343"/>
    </row>
    <row r="91" spans="6:27" ht="20.100000000000001" customHeight="1">
      <c r="F91" s="343"/>
      <c r="G91" s="343"/>
      <c r="H91" s="343"/>
      <c r="I91" s="343"/>
      <c r="J91" s="343"/>
      <c r="K91" s="343"/>
      <c r="L91" s="343"/>
      <c r="M91" s="343"/>
      <c r="AA91" s="343"/>
    </row>
    <row r="92" spans="6:27" ht="20.100000000000001" customHeight="1">
      <c r="F92" s="343"/>
      <c r="G92" s="343"/>
      <c r="H92" s="343"/>
      <c r="I92" s="343"/>
      <c r="J92" s="343"/>
      <c r="K92" s="343"/>
      <c r="L92" s="343"/>
      <c r="M92" s="343"/>
      <c r="AA92" s="343"/>
    </row>
    <row r="93" spans="6:27" ht="20.100000000000001" customHeight="1">
      <c r="F93" s="343"/>
      <c r="G93" s="343"/>
      <c r="H93" s="343"/>
      <c r="I93" s="343"/>
      <c r="J93" s="343"/>
      <c r="K93" s="343"/>
      <c r="L93" s="343"/>
      <c r="M93" s="343"/>
    </row>
    <row r="94" spans="6:27" ht="20.100000000000001" customHeight="1">
      <c r="F94" s="343"/>
      <c r="G94" s="343"/>
      <c r="H94" s="343"/>
      <c r="I94" s="343"/>
      <c r="J94" s="343"/>
      <c r="K94" s="343"/>
      <c r="L94" s="343"/>
      <c r="M94" s="343"/>
    </row>
    <row r="95" spans="6:27" ht="20.100000000000001" customHeight="1">
      <c r="F95" s="343"/>
      <c r="G95" s="343"/>
      <c r="H95" s="343"/>
      <c r="I95" s="343"/>
      <c r="J95" s="343"/>
      <c r="K95" s="343"/>
      <c r="L95" s="343"/>
      <c r="M95" s="343"/>
    </row>
    <row r="96" spans="6:27" ht="20.100000000000001" customHeight="1">
      <c r="F96" s="343"/>
      <c r="G96" s="343"/>
      <c r="H96" s="343"/>
      <c r="I96" s="343"/>
      <c r="J96" s="343"/>
      <c r="K96" s="343"/>
      <c r="L96" s="343"/>
      <c r="M96" s="343"/>
    </row>
    <row r="97" spans="6:13" ht="20.100000000000001" customHeight="1">
      <c r="F97" s="343"/>
      <c r="G97" s="343"/>
      <c r="H97" s="343"/>
      <c r="I97" s="343"/>
      <c r="J97" s="343"/>
      <c r="K97" s="343"/>
      <c r="L97" s="343"/>
      <c r="M97" s="343"/>
    </row>
    <row r="98" spans="6:13" ht="20.100000000000001" customHeight="1">
      <c r="F98" s="343"/>
      <c r="G98" s="343"/>
      <c r="H98" s="343"/>
      <c r="I98" s="343"/>
      <c r="J98" s="343"/>
      <c r="K98" s="343"/>
      <c r="L98" s="343"/>
      <c r="M98" s="343"/>
    </row>
    <row r="99" spans="6:13" ht="20.100000000000001" customHeight="1">
      <c r="F99" s="343"/>
      <c r="G99" s="343"/>
      <c r="H99" s="343"/>
      <c r="I99" s="343"/>
      <c r="J99" s="343"/>
      <c r="K99" s="343"/>
      <c r="L99" s="343"/>
      <c r="M99" s="343"/>
    </row>
    <row r="100" spans="6:13" ht="20.100000000000001" customHeight="1">
      <c r="F100" s="343"/>
      <c r="G100" s="343"/>
      <c r="H100" s="343"/>
      <c r="I100" s="343"/>
      <c r="J100" s="343"/>
      <c r="K100" s="343"/>
      <c r="L100" s="343"/>
      <c r="M100" s="343"/>
    </row>
    <row r="101" spans="6:13" ht="20.100000000000001" customHeight="1">
      <c r="F101" s="343"/>
      <c r="G101" s="343"/>
      <c r="H101" s="343"/>
      <c r="I101" s="343"/>
      <c r="J101" s="343"/>
      <c r="K101" s="343"/>
      <c r="L101" s="343"/>
      <c r="M101" s="343"/>
    </row>
    <row r="102" spans="6:13" ht="20.100000000000001" customHeight="1">
      <c r="F102" s="343"/>
      <c r="G102" s="343"/>
      <c r="H102" s="343"/>
      <c r="I102" s="343"/>
      <c r="J102" s="343"/>
      <c r="K102" s="343"/>
      <c r="L102" s="343"/>
      <c r="M102" s="343"/>
    </row>
    <row r="103" spans="6:13" ht="20.100000000000001" customHeight="1">
      <c r="F103" s="343"/>
      <c r="G103" s="343"/>
      <c r="H103" s="343"/>
      <c r="I103" s="343"/>
      <c r="J103" s="343"/>
      <c r="K103" s="343"/>
      <c r="L103" s="343"/>
      <c r="M103" s="343"/>
    </row>
    <row r="104" spans="6:13" ht="20.100000000000001" customHeight="1">
      <c r="F104" s="343"/>
      <c r="G104" s="343"/>
      <c r="H104" s="343"/>
      <c r="I104" s="343"/>
      <c r="J104" s="343"/>
      <c r="K104" s="343"/>
      <c r="L104" s="343"/>
      <c r="M104" s="343"/>
    </row>
    <row r="105" spans="6:13" ht="20.100000000000001" customHeight="1">
      <c r="F105" s="343"/>
      <c r="G105" s="343"/>
      <c r="H105" s="343"/>
      <c r="I105" s="343"/>
      <c r="J105" s="343"/>
      <c r="K105" s="343"/>
      <c r="L105" s="343"/>
      <c r="M105" s="343"/>
    </row>
    <row r="106" spans="6:13" ht="20.100000000000001" customHeight="1">
      <c r="F106" s="343" t="s">
        <v>1191</v>
      </c>
      <c r="G106" s="343"/>
      <c r="H106" s="343"/>
      <c r="I106" s="343"/>
      <c r="J106" s="343"/>
      <c r="K106" s="343"/>
      <c r="L106" s="343"/>
      <c r="M106" s="343"/>
    </row>
    <row r="107" spans="6:13" ht="20.100000000000001" customHeight="1">
      <c r="F107" s="343"/>
      <c r="G107" s="343"/>
      <c r="H107" s="343"/>
      <c r="I107" s="343"/>
      <c r="J107" s="343"/>
      <c r="K107" s="343"/>
      <c r="L107" s="343"/>
      <c r="M107" s="343"/>
    </row>
    <row r="108" spans="6:13" ht="20.100000000000001" customHeight="1">
      <c r="F108" s="343"/>
      <c r="G108" s="343"/>
      <c r="H108" s="343"/>
      <c r="I108" s="343"/>
      <c r="J108" s="343"/>
      <c r="K108" s="343"/>
      <c r="L108" s="343"/>
    </row>
    <row r="109" spans="6:13" ht="20.100000000000001" customHeight="1">
      <c r="F109" s="343"/>
      <c r="G109" s="343"/>
      <c r="H109" s="343"/>
      <c r="I109" s="343"/>
      <c r="J109" s="343"/>
    </row>
  </sheetData>
  <sheetProtection password="828E" sheet="1" objects="1" scenarios="1"/>
  <mergeCells count="34">
    <mergeCell ref="A1:D1"/>
    <mergeCell ref="A16:A18"/>
    <mergeCell ref="B31:B32"/>
    <mergeCell ref="B33:B34"/>
    <mergeCell ref="A28:A34"/>
    <mergeCell ref="C25:D27"/>
    <mergeCell ref="B28:B30"/>
    <mergeCell ref="G16:R16"/>
    <mergeCell ref="G3:J3"/>
    <mergeCell ref="G5:I5"/>
    <mergeCell ref="A40:D50"/>
    <mergeCell ref="F6:F9"/>
    <mergeCell ref="F10:I10"/>
    <mergeCell ref="F11:I11"/>
    <mergeCell ref="G6:I6"/>
    <mergeCell ref="G7:I7"/>
    <mergeCell ref="G8:I8"/>
    <mergeCell ref="G9:I9"/>
    <mergeCell ref="A66:D69"/>
    <mergeCell ref="F4:J4"/>
    <mergeCell ref="K4:N4"/>
    <mergeCell ref="F12:I12"/>
    <mergeCell ref="A3:A7"/>
    <mergeCell ref="C28:D34"/>
    <mergeCell ref="A22:A24"/>
    <mergeCell ref="A25:A27"/>
    <mergeCell ref="B35:B38"/>
    <mergeCell ref="A35:A38"/>
    <mergeCell ref="C35:D38"/>
    <mergeCell ref="A8:A15"/>
    <mergeCell ref="B22:B24"/>
    <mergeCell ref="B25:B27"/>
    <mergeCell ref="C22:D24"/>
    <mergeCell ref="G15:R15"/>
  </mergeCells>
  <phoneticPr fontId="4" type="noConversion"/>
  <dataValidations count="3">
    <dataValidation type="list" allowBlank="1" showInputMessage="1" showErrorMessage="1" prompt="请选择" sqref="C19">
      <formula1>"无缓冲,橡胶缓冲,气缓冲,液压缓冲"</formula1>
    </dataValidation>
    <dataValidation type="list" allowBlank="1" showInputMessage="1" showErrorMessage="1" prompt="请选择" sqref="C18">
      <formula1>" 法兰安装,尾部单耳环,尾部双耳环,尾部耳轴,中部耳轴,端部耳轴,脚架"</formula1>
    </dataValidation>
    <dataValidation type="list" allowBlank="1" showInputMessage="1" showErrorMessage="1" prompt="请选择" sqref="C7">
      <formula1>"推力驱动,拉力驱动"</formula1>
    </dataValidation>
  </dataValidation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sheetPr codeName="Sheet23"/>
  <dimension ref="A1:AE103"/>
  <sheetViews>
    <sheetView topLeftCell="A7" workbookViewId="0">
      <selection activeCell="C16" sqref="C16"/>
    </sheetView>
  </sheetViews>
  <sheetFormatPr defaultColWidth="15.625" defaultRowHeight="20.100000000000001" customHeight="1"/>
  <cols>
    <col min="1" max="1" width="15.625" style="262"/>
    <col min="2" max="2" width="25.875" style="262" customWidth="1"/>
    <col min="3" max="3" width="15.625" style="263"/>
    <col min="4" max="4" width="17" style="262" customWidth="1"/>
    <col min="5" max="5" width="7.875" style="262" customWidth="1"/>
    <col min="6" max="18" width="10.625" style="262" customWidth="1"/>
    <col min="19" max="25" width="8.625" style="262" customWidth="1"/>
    <col min="26" max="16384" width="15.625" style="262"/>
  </cols>
  <sheetData>
    <row r="1" spans="1:29" ht="21.95" customHeight="1">
      <c r="A1" s="775" t="s">
        <v>2278</v>
      </c>
      <c r="B1" s="776"/>
      <c r="C1" s="776"/>
      <c r="D1" s="776"/>
    </row>
    <row r="2" spans="1:29" ht="20.100000000000001" customHeight="1">
      <c r="A2" s="266" t="s">
        <v>753</v>
      </c>
      <c r="B2" s="266" t="s">
        <v>754</v>
      </c>
      <c r="C2" s="267" t="s">
        <v>755</v>
      </c>
      <c r="D2" s="266" t="s">
        <v>762</v>
      </c>
      <c r="F2" s="333" t="s">
        <v>2217</v>
      </c>
    </row>
    <row r="3" spans="1:29" ht="20.100000000000001" customHeight="1">
      <c r="A3" s="1325" t="s">
        <v>2021</v>
      </c>
      <c r="B3" s="266" t="s">
        <v>2254</v>
      </c>
      <c r="C3" s="326">
        <v>500</v>
      </c>
      <c r="D3" s="266"/>
      <c r="F3" s="563" t="s">
        <v>2222</v>
      </c>
      <c r="G3" s="783" t="s">
        <v>2216</v>
      </c>
      <c r="H3" s="1317"/>
      <c r="I3" s="1317"/>
      <c r="J3" s="1318"/>
      <c r="K3" s="263"/>
      <c r="L3" s="368"/>
      <c r="T3" s="342"/>
      <c r="U3" s="342"/>
      <c r="V3" s="342"/>
      <c r="W3" s="342"/>
      <c r="X3" s="342"/>
      <c r="Y3" s="342">
        <v>0</v>
      </c>
      <c r="Z3" s="342"/>
      <c r="AA3" s="342"/>
      <c r="AB3" s="342"/>
    </row>
    <row r="4" spans="1:29" ht="20.100000000000001" customHeight="1">
      <c r="A4" s="754"/>
      <c r="B4" s="266" t="s">
        <v>2262</v>
      </c>
      <c r="C4" s="326">
        <v>300</v>
      </c>
      <c r="D4" s="266"/>
      <c r="F4" s="1300" t="s">
        <v>2249</v>
      </c>
      <c r="G4" s="1301"/>
      <c r="H4" s="1301"/>
      <c r="I4" s="1301"/>
      <c r="J4" s="1302"/>
      <c r="K4" s="1300" t="s">
        <v>2250</v>
      </c>
      <c r="L4" s="1301"/>
      <c r="M4" s="1301"/>
      <c r="N4" s="1302"/>
      <c r="T4" s="342"/>
      <c r="U4" s="342"/>
      <c r="V4" s="342"/>
      <c r="W4" s="342"/>
      <c r="X4" s="342"/>
      <c r="Y4" s="342">
        <v>2</v>
      </c>
      <c r="Z4" s="342"/>
      <c r="AA4" s="342"/>
      <c r="AB4" s="342"/>
    </row>
    <row r="5" spans="1:29" ht="20.100000000000001" customHeight="1">
      <c r="A5" s="754"/>
      <c r="B5" s="266" t="s">
        <v>2255</v>
      </c>
      <c r="C5" s="326">
        <v>1</v>
      </c>
      <c r="D5" s="266" t="s">
        <v>2256</v>
      </c>
      <c r="F5" s="355" t="s">
        <v>2204</v>
      </c>
      <c r="G5" s="1304" t="s">
        <v>2205</v>
      </c>
      <c r="H5" s="1305"/>
      <c r="I5" s="1306"/>
      <c r="J5" s="355" t="s">
        <v>2206</v>
      </c>
      <c r="K5" s="263"/>
      <c r="T5" s="342"/>
      <c r="U5" s="342"/>
      <c r="V5" s="342"/>
      <c r="W5" s="343"/>
      <c r="X5" s="343"/>
      <c r="Y5" s="343">
        <v>2</v>
      </c>
      <c r="Z5" s="343"/>
      <c r="AA5" s="343"/>
      <c r="AB5" s="343"/>
      <c r="AC5" s="343"/>
    </row>
    <row r="6" spans="1:29" ht="20.100000000000001" customHeight="1">
      <c r="A6" s="754"/>
      <c r="B6" s="266" t="s">
        <v>2259</v>
      </c>
      <c r="C6" s="326">
        <v>1</v>
      </c>
      <c r="D6" s="266" t="s">
        <v>2256</v>
      </c>
      <c r="F6" s="1319" t="s">
        <v>2207</v>
      </c>
      <c r="G6" s="1322" t="s">
        <v>2208</v>
      </c>
      <c r="H6" s="1323"/>
      <c r="I6" s="1324"/>
      <c r="J6" s="346" t="s">
        <v>2213</v>
      </c>
      <c r="U6" s="343"/>
      <c r="V6" s="343"/>
      <c r="W6" s="344"/>
      <c r="X6" s="344"/>
      <c r="Y6" s="343">
        <v>2</v>
      </c>
      <c r="Z6" s="344"/>
      <c r="AA6" s="344"/>
      <c r="AB6" s="344"/>
      <c r="AC6" s="344"/>
    </row>
    <row r="7" spans="1:29" ht="20.100000000000001" customHeight="1">
      <c r="A7" s="754"/>
      <c r="B7" s="266" t="s">
        <v>2271</v>
      </c>
      <c r="C7" s="326">
        <v>0.95</v>
      </c>
      <c r="D7" s="266" t="s">
        <v>2257</v>
      </c>
      <c r="F7" s="1320"/>
      <c r="G7" s="1322" t="s">
        <v>2209</v>
      </c>
      <c r="H7" s="1323"/>
      <c r="I7" s="1324"/>
      <c r="J7" s="346" t="s">
        <v>898</v>
      </c>
      <c r="U7" s="344"/>
      <c r="V7" s="344"/>
      <c r="W7" s="344"/>
      <c r="X7" s="344"/>
      <c r="Y7" s="349">
        <v>0</v>
      </c>
    </row>
    <row r="8" spans="1:29" ht="20.100000000000001" customHeight="1">
      <c r="A8" s="754"/>
      <c r="B8" s="266" t="s">
        <v>2273</v>
      </c>
      <c r="C8" s="326">
        <v>0.9</v>
      </c>
      <c r="D8" s="266" t="s">
        <v>2272</v>
      </c>
      <c r="F8" s="1320"/>
      <c r="G8" s="1304" t="s">
        <v>2210</v>
      </c>
      <c r="H8" s="1305"/>
      <c r="I8" s="1306"/>
      <c r="J8" s="346" t="s">
        <v>2214</v>
      </c>
      <c r="U8" s="344"/>
      <c r="V8" s="344"/>
      <c r="W8" s="344"/>
      <c r="X8" s="344"/>
      <c r="Y8" s="343"/>
      <c r="Z8" s="344"/>
      <c r="AA8" s="344"/>
    </row>
    <row r="9" spans="1:29" ht="20.100000000000001" customHeight="1">
      <c r="A9" s="755"/>
      <c r="B9" s="266" t="s">
        <v>2268</v>
      </c>
      <c r="C9" s="326">
        <v>10</v>
      </c>
      <c r="D9" s="345" t="s">
        <v>2265</v>
      </c>
      <c r="F9" s="1321"/>
      <c r="G9" s="1304" t="s">
        <v>2211</v>
      </c>
      <c r="H9" s="1305"/>
      <c r="I9" s="1306"/>
      <c r="J9" s="346" t="s">
        <v>899</v>
      </c>
      <c r="U9" s="344"/>
      <c r="V9" s="344"/>
      <c r="W9" s="344"/>
      <c r="X9" s="344"/>
      <c r="Y9" s="343"/>
      <c r="Z9" s="344"/>
      <c r="AA9" s="344"/>
      <c r="AB9" s="344"/>
    </row>
    <row r="10" spans="1:29" ht="20.100000000000001" customHeight="1">
      <c r="A10" s="548" t="s">
        <v>2258</v>
      </c>
      <c r="B10" s="266" t="s">
        <v>2267</v>
      </c>
      <c r="C10" s="379">
        <f>C3/C5/C6/C7</f>
        <v>526.31578947368428</v>
      </c>
      <c r="D10" s="266" t="s">
        <v>2260</v>
      </c>
      <c r="F10" s="1304" t="s">
        <v>2251</v>
      </c>
      <c r="G10" s="1305"/>
      <c r="H10" s="1305"/>
      <c r="I10" s="1306"/>
      <c r="J10" s="346" t="s">
        <v>709</v>
      </c>
      <c r="U10" s="344"/>
      <c r="V10" s="344"/>
      <c r="W10" s="344"/>
      <c r="X10" s="344"/>
      <c r="Y10" s="344"/>
    </row>
    <row r="11" spans="1:29" ht="20.100000000000001" customHeight="1">
      <c r="A11" s="547" t="s">
        <v>2261</v>
      </c>
      <c r="B11" s="266" t="s">
        <v>2263</v>
      </c>
      <c r="C11" s="267">
        <f>C4*C5</f>
        <v>300</v>
      </c>
      <c r="D11" s="266" t="s">
        <v>2264</v>
      </c>
      <c r="F11" s="1304" t="s">
        <v>2212</v>
      </c>
      <c r="G11" s="1305"/>
      <c r="H11" s="1305"/>
      <c r="I11" s="1306"/>
      <c r="J11" s="346" t="s">
        <v>2215</v>
      </c>
      <c r="S11" s="344"/>
      <c r="T11" s="344"/>
      <c r="U11" s="344"/>
      <c r="V11" s="344"/>
      <c r="W11" s="344"/>
      <c r="X11" s="344"/>
      <c r="Y11" s="344"/>
    </row>
    <row r="12" spans="1:29" ht="20.100000000000001" customHeight="1">
      <c r="A12" s="1081" t="s">
        <v>2266</v>
      </c>
      <c r="B12" s="266" t="s">
        <v>2279</v>
      </c>
      <c r="C12" s="647" t="s">
        <v>2282</v>
      </c>
      <c r="D12" s="1307" t="s">
        <v>1965</v>
      </c>
      <c r="F12" s="1304" t="s">
        <v>2252</v>
      </c>
      <c r="G12" s="1305"/>
      <c r="H12" s="1305"/>
      <c r="I12" s="1306"/>
      <c r="J12" s="346" t="s">
        <v>2253</v>
      </c>
      <c r="Q12" s="344"/>
      <c r="R12" s="344"/>
      <c r="S12" s="344"/>
      <c r="T12" s="344"/>
      <c r="V12" s="344"/>
      <c r="W12" s="344"/>
      <c r="X12" s="344"/>
      <c r="Y12" s="344"/>
    </row>
    <row r="13" spans="1:29" ht="20.100000000000001" customHeight="1">
      <c r="A13" s="1082"/>
      <c r="B13" s="266" t="s">
        <v>2270</v>
      </c>
      <c r="C13" s="699">
        <v>598</v>
      </c>
      <c r="D13" s="1216"/>
      <c r="F13" s="343"/>
      <c r="G13" s="343"/>
      <c r="H13" s="343"/>
      <c r="V13" s="344"/>
      <c r="W13" s="344"/>
      <c r="X13" s="344"/>
      <c r="Y13" s="344"/>
    </row>
    <row r="14" spans="1:29" ht="20.100000000000001" customHeight="1">
      <c r="A14" s="1082"/>
      <c r="B14" s="266" t="s">
        <v>2280</v>
      </c>
      <c r="C14" s="699">
        <v>400</v>
      </c>
      <c r="D14" s="1217"/>
      <c r="F14" s="343" t="s">
        <v>2281</v>
      </c>
      <c r="G14" s="343"/>
      <c r="H14" s="343"/>
      <c r="V14" s="344"/>
      <c r="W14" s="344"/>
      <c r="X14" s="344"/>
      <c r="Y14" s="344"/>
    </row>
    <row r="15" spans="1:29" ht="20.100000000000001" customHeight="1">
      <c r="A15" s="1082"/>
      <c r="B15" s="266" t="s">
        <v>2285</v>
      </c>
      <c r="C15" s="699">
        <v>0.40400000000000003</v>
      </c>
      <c r="D15" s="561" t="s">
        <v>2284</v>
      </c>
      <c r="F15" s="343"/>
      <c r="G15" s="343"/>
      <c r="H15" s="343"/>
      <c r="V15" s="344"/>
      <c r="W15" s="344"/>
      <c r="X15" s="344"/>
    </row>
    <row r="16" spans="1:29" ht="20.100000000000001" customHeight="1">
      <c r="A16" s="1083"/>
      <c r="B16" s="266" t="s">
        <v>2318</v>
      </c>
      <c r="C16" s="412">
        <f>2*PI()*C13*C14/60000</f>
        <v>25.048965424622619</v>
      </c>
      <c r="D16" s="546" t="s">
        <v>2274</v>
      </c>
      <c r="F16" s="343"/>
      <c r="G16" s="343"/>
      <c r="H16" s="343"/>
      <c r="V16" s="344"/>
      <c r="W16" s="344"/>
      <c r="Y16" s="344"/>
    </row>
    <row r="17" spans="1:27" ht="20.100000000000001" customHeight="1">
      <c r="A17" s="1081" t="s">
        <v>2287</v>
      </c>
      <c r="B17" s="266" t="s">
        <v>2269</v>
      </c>
      <c r="C17" s="720">
        <v>9.8000000000000007</v>
      </c>
      <c r="D17" s="266" t="s">
        <v>2286</v>
      </c>
      <c r="F17" s="343"/>
      <c r="G17" s="343"/>
      <c r="H17" s="343"/>
      <c r="V17" s="344"/>
      <c r="W17" s="344"/>
      <c r="X17" s="344"/>
      <c r="Y17" s="344"/>
    </row>
    <row r="18" spans="1:27" ht="20.100000000000001" customHeight="1">
      <c r="A18" s="1082"/>
      <c r="B18" s="266" t="s">
        <v>2283</v>
      </c>
      <c r="C18" s="379">
        <f>2*PI()*C13/C17/C7</f>
        <v>403.58161264161032</v>
      </c>
      <c r="D18" s="266" t="s">
        <v>2326</v>
      </c>
      <c r="F18" s="343"/>
      <c r="G18" s="343"/>
      <c r="H18" s="343"/>
      <c r="V18" s="344"/>
      <c r="W18" s="344"/>
      <c r="X18" s="344"/>
      <c r="Y18" s="344"/>
    </row>
    <row r="19" spans="1:27" ht="20.100000000000001" customHeight="1">
      <c r="A19" s="1083"/>
      <c r="B19" s="266" t="s">
        <v>2277</v>
      </c>
      <c r="C19" s="379">
        <f>IF(C15=0,C18*C14/C8/1000,C15*C14/C8)</f>
        <v>179.55555555555557</v>
      </c>
      <c r="D19" s="266" t="s">
        <v>2295</v>
      </c>
      <c r="F19" s="343"/>
      <c r="G19" s="343"/>
      <c r="H19" s="343"/>
      <c r="V19" s="344"/>
      <c r="W19" s="344"/>
      <c r="X19" s="344"/>
    </row>
    <row r="20" spans="1:27" ht="20.100000000000001" customHeight="1">
      <c r="A20" s="567"/>
      <c r="B20" s="568"/>
      <c r="C20" s="564"/>
      <c r="D20" s="569"/>
      <c r="F20" s="343"/>
      <c r="G20" s="343"/>
      <c r="H20" s="343"/>
      <c r="O20" s="343"/>
      <c r="V20" s="344"/>
      <c r="W20" s="344"/>
    </row>
    <row r="21" spans="1:27" ht="20.100000000000001" customHeight="1">
      <c r="A21" s="1225" t="s">
        <v>2275</v>
      </c>
      <c r="B21" s="1225"/>
      <c r="C21" s="1225"/>
      <c r="D21" s="1225"/>
      <c r="F21" s="343"/>
      <c r="G21" s="343"/>
      <c r="H21" s="343"/>
      <c r="O21" s="343"/>
      <c r="P21" s="343"/>
      <c r="Q21" s="343"/>
      <c r="R21" s="343"/>
      <c r="V21" s="344"/>
      <c r="W21" s="344"/>
    </row>
    <row r="22" spans="1:27" ht="20.100000000000001" customHeight="1">
      <c r="A22" s="1225"/>
      <c r="B22" s="1225"/>
      <c r="C22" s="1225"/>
      <c r="D22" s="1225"/>
      <c r="F22" s="343"/>
      <c r="G22" s="343"/>
      <c r="H22" s="343"/>
      <c r="V22" s="344"/>
      <c r="W22" s="344"/>
      <c r="Y22" s="343"/>
    </row>
    <row r="23" spans="1:27" ht="20.100000000000001" customHeight="1">
      <c r="A23" s="1225"/>
      <c r="B23" s="1225"/>
      <c r="C23" s="1225"/>
      <c r="D23" s="1225"/>
      <c r="F23" s="343"/>
      <c r="G23" s="343"/>
      <c r="H23" s="343"/>
      <c r="V23" s="344"/>
      <c r="W23" s="344"/>
      <c r="X23" s="343"/>
      <c r="Z23" s="343"/>
    </row>
    <row r="24" spans="1:27" ht="20.100000000000001" customHeight="1">
      <c r="A24" s="1225"/>
      <c r="B24" s="1225"/>
      <c r="C24" s="1225"/>
      <c r="D24" s="1225"/>
      <c r="F24" s="343"/>
      <c r="G24" s="343"/>
      <c r="H24" s="343"/>
      <c r="U24" s="343"/>
      <c r="V24" s="344"/>
      <c r="Z24" s="343"/>
    </row>
    <row r="25" spans="1:27" ht="20.100000000000001" customHeight="1">
      <c r="A25" s="1225"/>
      <c r="B25" s="1225"/>
      <c r="C25" s="1225"/>
      <c r="D25" s="1225"/>
      <c r="F25" s="343"/>
      <c r="G25" s="343"/>
      <c r="H25" s="343"/>
      <c r="S25" s="343"/>
      <c r="T25" s="343"/>
      <c r="Z25" s="343"/>
    </row>
    <row r="26" spans="1:27" ht="20.100000000000001" customHeight="1">
      <c r="A26" s="1225"/>
      <c r="B26" s="1225"/>
      <c r="C26" s="1225"/>
      <c r="D26" s="1225"/>
      <c r="F26" s="343"/>
      <c r="G26" s="343"/>
      <c r="H26" s="343"/>
      <c r="N26" s="333"/>
      <c r="Z26" s="343"/>
    </row>
    <row r="27" spans="1:27" ht="20.100000000000001" customHeight="1">
      <c r="A27" s="1225"/>
      <c r="B27" s="1225"/>
      <c r="C27" s="1225"/>
      <c r="D27" s="1225"/>
      <c r="F27" s="343"/>
      <c r="G27" s="343"/>
      <c r="H27" s="343"/>
      <c r="Z27" s="343"/>
    </row>
    <row r="28" spans="1:27" ht="20.100000000000001" customHeight="1">
      <c r="A28" s="1225"/>
      <c r="B28" s="1225"/>
      <c r="C28" s="1225"/>
      <c r="D28" s="1225"/>
      <c r="F28" s="343"/>
      <c r="G28" s="343"/>
      <c r="H28" s="343"/>
      <c r="Z28" s="343"/>
    </row>
    <row r="29" spans="1:27" ht="20.100000000000001" customHeight="1">
      <c r="A29" s="1225"/>
      <c r="B29" s="1225"/>
      <c r="C29" s="1225"/>
      <c r="D29" s="1225"/>
      <c r="F29" s="343"/>
      <c r="G29" s="343"/>
      <c r="H29" s="343"/>
      <c r="Z29" s="343"/>
    </row>
    <row r="30" spans="1:27" ht="20.100000000000001" customHeight="1">
      <c r="A30" s="1225"/>
      <c r="B30" s="1225"/>
      <c r="C30" s="1225"/>
      <c r="D30" s="1225"/>
      <c r="G30" s="343"/>
      <c r="H30" s="343"/>
      <c r="Z30" s="343"/>
    </row>
    <row r="31" spans="1:27" ht="20.100000000000001" customHeight="1">
      <c r="A31" s="1225"/>
      <c r="B31" s="1225"/>
      <c r="C31" s="1225"/>
      <c r="D31" s="1225"/>
      <c r="F31" s="343"/>
      <c r="G31" s="343"/>
      <c r="H31" s="343"/>
      <c r="Z31" s="343"/>
    </row>
    <row r="32" spans="1:27" ht="20.100000000000001" customHeight="1">
      <c r="A32" s="1225"/>
      <c r="B32" s="1225"/>
      <c r="C32" s="1225"/>
      <c r="D32" s="1225"/>
      <c r="F32" s="343"/>
      <c r="G32" s="343"/>
      <c r="H32" s="343"/>
      <c r="AA32" s="343"/>
    </row>
    <row r="33" spans="1:27" ht="20.100000000000001" customHeight="1">
      <c r="A33" s="1225"/>
      <c r="B33" s="1225"/>
      <c r="C33" s="1225"/>
      <c r="D33" s="1225"/>
      <c r="F33" s="343"/>
      <c r="G33" s="343"/>
      <c r="H33" s="343"/>
      <c r="AA33" s="343"/>
    </row>
    <row r="34" spans="1:27" ht="20.100000000000001" customHeight="1">
      <c r="A34" s="1225"/>
      <c r="B34" s="1225"/>
      <c r="C34" s="1225"/>
      <c r="D34" s="1225"/>
      <c r="F34" s="343"/>
      <c r="G34" s="343"/>
      <c r="H34" s="343"/>
      <c r="AA34" s="343"/>
    </row>
    <row r="35" spans="1:27" ht="20.100000000000001" customHeight="1">
      <c r="A35" s="1225"/>
      <c r="B35" s="1225"/>
      <c r="C35" s="1225"/>
      <c r="D35" s="1225"/>
      <c r="F35" s="343"/>
      <c r="G35" s="343"/>
      <c r="H35" s="343"/>
      <c r="AA35" s="343"/>
    </row>
    <row r="36" spans="1:27" ht="20.100000000000001" customHeight="1">
      <c r="A36" s="1225"/>
      <c r="B36" s="1225"/>
      <c r="C36" s="1225"/>
      <c r="D36" s="1225"/>
      <c r="F36" s="343"/>
      <c r="G36" s="343"/>
      <c r="H36" s="343"/>
      <c r="AA36" s="343"/>
    </row>
    <row r="37" spans="1:27" ht="20.100000000000001" customHeight="1">
      <c r="A37" s="1225"/>
      <c r="B37" s="1225"/>
      <c r="C37" s="1225"/>
      <c r="D37" s="1225"/>
      <c r="F37" s="343"/>
      <c r="G37" s="343"/>
      <c r="H37" s="343"/>
      <c r="AA37" s="343"/>
    </row>
    <row r="38" spans="1:27" ht="20.100000000000001" customHeight="1">
      <c r="A38" s="1225"/>
      <c r="B38" s="1225"/>
      <c r="C38" s="1225"/>
      <c r="D38" s="1225"/>
      <c r="F38" s="343"/>
      <c r="G38" s="343"/>
      <c r="H38" s="343"/>
      <c r="AA38" s="343"/>
    </row>
    <row r="39" spans="1:27" ht="20.100000000000001" customHeight="1">
      <c r="A39" s="1225"/>
      <c r="B39" s="1225"/>
      <c r="C39" s="1225"/>
      <c r="D39" s="1225"/>
      <c r="F39" s="343"/>
      <c r="G39" s="343"/>
      <c r="H39" s="343"/>
      <c r="AA39" s="343"/>
    </row>
    <row r="40" spans="1:27" ht="20.100000000000001" customHeight="1">
      <c r="A40" s="1225"/>
      <c r="B40" s="1225"/>
      <c r="C40" s="1225"/>
      <c r="D40" s="1225"/>
      <c r="F40" s="399"/>
      <c r="G40" s="343"/>
      <c r="H40" s="343"/>
      <c r="M40" s="384"/>
      <c r="N40" s="333"/>
      <c r="AA40" s="343"/>
    </row>
    <row r="41" spans="1:27" ht="20.100000000000001" customHeight="1">
      <c r="A41" s="1225"/>
      <c r="B41" s="1225"/>
      <c r="C41" s="1225"/>
      <c r="D41" s="1225"/>
      <c r="F41" s="349"/>
      <c r="G41" s="343"/>
      <c r="H41" s="367"/>
      <c r="I41" s="367"/>
      <c r="J41" s="367"/>
      <c r="K41" s="384"/>
      <c r="L41" s="384"/>
      <c r="M41" s="384"/>
      <c r="AA41" s="343"/>
    </row>
    <row r="42" spans="1:27" ht="20.100000000000001" customHeight="1">
      <c r="A42" s="1227" t="s">
        <v>2276</v>
      </c>
      <c r="B42" s="1227"/>
      <c r="C42" s="1227"/>
      <c r="D42" s="1227"/>
      <c r="F42" s="349"/>
      <c r="G42" s="343"/>
      <c r="H42" s="367"/>
      <c r="I42" s="367"/>
      <c r="J42" s="367"/>
      <c r="K42" s="384"/>
      <c r="L42" s="384"/>
      <c r="M42" s="367"/>
      <c r="AA42" s="343"/>
    </row>
    <row r="43" spans="1:27" ht="20.100000000000001" customHeight="1">
      <c r="A43" s="1227"/>
      <c r="B43" s="1227"/>
      <c r="C43" s="1227"/>
      <c r="D43" s="1227"/>
      <c r="F43" s="349"/>
      <c r="G43" s="343"/>
      <c r="H43" s="367"/>
      <c r="I43" s="367"/>
      <c r="J43" s="367"/>
      <c r="K43" s="367"/>
      <c r="L43" s="367"/>
      <c r="M43" s="343"/>
      <c r="AA43" s="343"/>
    </row>
    <row r="44" spans="1:27" ht="20.100000000000001" customHeight="1">
      <c r="A44" s="1227"/>
      <c r="B44" s="1227"/>
      <c r="C44" s="1227"/>
      <c r="D44" s="1227"/>
      <c r="F44" s="349"/>
      <c r="G44" s="343"/>
      <c r="H44" s="367"/>
      <c r="I44" s="367"/>
      <c r="J44" s="367"/>
      <c r="K44" s="343"/>
      <c r="L44" s="343"/>
      <c r="M44" s="343"/>
      <c r="AA44" s="343"/>
    </row>
    <row r="45" spans="1:27" ht="20.100000000000001" customHeight="1">
      <c r="A45" s="1227"/>
      <c r="B45" s="1227"/>
      <c r="C45" s="1227"/>
      <c r="D45" s="1227"/>
      <c r="F45" s="343"/>
      <c r="G45" s="343"/>
      <c r="H45" s="343"/>
      <c r="I45" s="343"/>
      <c r="J45" s="343"/>
      <c r="K45" s="343"/>
      <c r="L45" s="343"/>
      <c r="M45" s="343"/>
      <c r="AA45" s="343"/>
    </row>
    <row r="46" spans="1:27" ht="20.100000000000001" customHeight="1">
      <c r="A46" s="389"/>
      <c r="B46" s="389"/>
      <c r="C46" s="389"/>
      <c r="D46" s="389"/>
      <c r="F46" s="349"/>
      <c r="G46" s="343"/>
      <c r="H46" s="343"/>
      <c r="I46" s="343"/>
      <c r="J46" s="343"/>
      <c r="K46" s="343"/>
      <c r="L46" s="343"/>
      <c r="M46" s="343"/>
      <c r="AA46" s="343"/>
    </row>
    <row r="47" spans="1:27" ht="20.100000000000001" customHeight="1">
      <c r="A47" s="545"/>
      <c r="B47" s="545"/>
      <c r="C47" s="545"/>
      <c r="D47" s="545"/>
      <c r="F47" s="343"/>
      <c r="G47" s="343"/>
      <c r="H47" s="343"/>
      <c r="I47" s="343"/>
      <c r="J47" s="343"/>
      <c r="K47" s="343"/>
      <c r="L47" s="343"/>
      <c r="M47" s="343"/>
      <c r="AA47" s="343"/>
    </row>
    <row r="48" spans="1:27" ht="20.100000000000001" customHeight="1">
      <c r="A48" s="545"/>
      <c r="B48" s="545"/>
      <c r="C48" s="545"/>
      <c r="D48" s="545"/>
      <c r="F48" s="343"/>
      <c r="G48" s="343"/>
      <c r="H48" s="343"/>
      <c r="I48" s="343"/>
      <c r="J48" s="343"/>
      <c r="K48" s="343"/>
      <c r="L48" s="343"/>
      <c r="M48" s="343"/>
      <c r="AA48" s="343"/>
    </row>
    <row r="49" spans="1:31" ht="20.100000000000001" customHeight="1">
      <c r="A49" s="545"/>
      <c r="F49" s="343"/>
      <c r="G49" s="343"/>
      <c r="H49" s="343"/>
      <c r="I49" s="343"/>
      <c r="J49" s="343"/>
      <c r="K49" s="343"/>
      <c r="L49" s="343"/>
      <c r="M49" s="343"/>
      <c r="AA49" s="343"/>
    </row>
    <row r="50" spans="1:31" ht="20.100000000000001" customHeight="1">
      <c r="F50" s="343"/>
      <c r="G50" s="343"/>
      <c r="H50" s="343"/>
      <c r="I50" s="343"/>
      <c r="J50" s="343"/>
      <c r="K50" s="343"/>
      <c r="L50" s="343"/>
      <c r="M50" s="343"/>
      <c r="Z50" s="343"/>
    </row>
    <row r="51" spans="1:31" ht="20.100000000000001" customHeight="1">
      <c r="G51" s="263"/>
      <c r="J51" s="343"/>
      <c r="K51" s="343"/>
      <c r="L51" s="343"/>
      <c r="M51" s="343"/>
      <c r="N51" s="343"/>
      <c r="O51" s="343"/>
      <c r="P51" s="343"/>
      <c r="Q51" s="343"/>
      <c r="Z51" s="343"/>
    </row>
    <row r="52" spans="1:31" ht="20.100000000000001" customHeight="1">
      <c r="G52" s="263"/>
      <c r="J52" s="343"/>
      <c r="K52" s="343"/>
      <c r="L52" s="343"/>
      <c r="M52" s="343"/>
      <c r="N52" s="343"/>
      <c r="O52" s="343"/>
      <c r="P52" s="343"/>
      <c r="Q52" s="343"/>
      <c r="R52" s="343"/>
      <c r="Z52" s="343"/>
    </row>
    <row r="53" spans="1:31" ht="20.100000000000001" customHeight="1">
      <c r="E53" s="382"/>
      <c r="G53" s="263"/>
      <c r="J53" s="343"/>
      <c r="K53" s="343"/>
      <c r="L53" s="343"/>
      <c r="M53" s="343"/>
      <c r="N53" s="343"/>
      <c r="O53" s="343"/>
      <c r="P53" s="343"/>
      <c r="Q53" s="343"/>
      <c r="Z53" s="343"/>
    </row>
    <row r="54" spans="1:31" ht="20.100000000000001" customHeight="1">
      <c r="F54" s="343"/>
      <c r="G54" s="343"/>
      <c r="H54" s="343"/>
      <c r="I54" s="343"/>
      <c r="J54" s="343"/>
      <c r="K54" s="343"/>
      <c r="L54" s="343"/>
      <c r="M54" s="343"/>
      <c r="N54" s="343"/>
      <c r="O54" s="343"/>
      <c r="P54" s="343"/>
      <c r="Q54" s="343"/>
      <c r="AD54" s="343"/>
    </row>
    <row r="55" spans="1:31" ht="20.100000000000001" customHeight="1">
      <c r="F55" s="343"/>
      <c r="G55" s="343"/>
      <c r="H55" s="343"/>
      <c r="I55" s="343"/>
      <c r="J55" s="343"/>
      <c r="K55" s="343"/>
      <c r="L55" s="343"/>
      <c r="M55" s="343"/>
      <c r="N55" s="343"/>
      <c r="O55" s="343"/>
      <c r="P55" s="343"/>
      <c r="Q55" s="343"/>
      <c r="AD55" s="343"/>
    </row>
    <row r="56" spans="1:31" ht="20.100000000000001" customHeight="1">
      <c r="F56" s="343"/>
      <c r="G56" s="343"/>
      <c r="H56" s="343"/>
      <c r="I56" s="343"/>
      <c r="J56" s="343"/>
      <c r="K56" s="343"/>
      <c r="L56" s="343"/>
      <c r="M56" s="343"/>
      <c r="AD56" s="343"/>
    </row>
    <row r="57" spans="1:31" ht="20.100000000000001" customHeight="1">
      <c r="F57" s="343"/>
      <c r="G57" s="343"/>
      <c r="H57" s="343"/>
      <c r="I57" s="343"/>
      <c r="J57" s="343"/>
      <c r="K57" s="343"/>
      <c r="L57" s="343"/>
      <c r="M57" s="343"/>
      <c r="AD57" s="343"/>
    </row>
    <row r="58" spans="1:31" ht="20.100000000000001" customHeight="1">
      <c r="F58" s="343"/>
      <c r="G58" s="343"/>
      <c r="H58" s="343"/>
      <c r="I58" s="343"/>
      <c r="J58" s="343"/>
      <c r="K58" s="343"/>
      <c r="L58" s="343"/>
      <c r="M58" s="343"/>
      <c r="S58" s="343"/>
      <c r="AE58" s="343"/>
    </row>
    <row r="59" spans="1:31" ht="20.100000000000001" customHeight="1">
      <c r="F59" s="343"/>
      <c r="G59" s="343"/>
      <c r="H59" s="343"/>
      <c r="I59" s="343"/>
      <c r="J59" s="343"/>
      <c r="K59" s="343"/>
      <c r="L59" s="343"/>
      <c r="M59" s="343"/>
      <c r="AA59" s="343"/>
    </row>
    <row r="60" spans="1:31" ht="20.100000000000001" customHeight="1">
      <c r="F60" s="343"/>
      <c r="G60" s="343"/>
      <c r="H60" s="343"/>
      <c r="I60" s="343"/>
      <c r="J60" s="343"/>
      <c r="K60" s="343"/>
      <c r="L60" s="343"/>
      <c r="M60" s="343"/>
      <c r="AA60" s="343"/>
    </row>
    <row r="61" spans="1:31" ht="20.100000000000001" customHeight="1">
      <c r="F61" s="343"/>
      <c r="G61" s="343"/>
      <c r="H61" s="343"/>
      <c r="I61" s="343"/>
      <c r="J61" s="343"/>
      <c r="K61" s="343"/>
      <c r="L61" s="343"/>
      <c r="M61" s="343"/>
      <c r="AA61" s="343"/>
    </row>
    <row r="62" spans="1:31" ht="20.100000000000001" customHeight="1">
      <c r="F62" s="343"/>
      <c r="G62" s="343"/>
      <c r="H62" s="343"/>
      <c r="I62" s="343"/>
      <c r="J62" s="343"/>
      <c r="K62" s="343"/>
      <c r="L62" s="343"/>
      <c r="M62" s="343"/>
      <c r="AA62" s="343"/>
    </row>
    <row r="63" spans="1:31" ht="20.100000000000001" customHeight="1">
      <c r="F63" s="343"/>
      <c r="G63" s="343"/>
      <c r="H63" s="343"/>
      <c r="I63" s="343"/>
      <c r="J63" s="343"/>
      <c r="K63" s="343"/>
      <c r="L63" s="343"/>
      <c r="M63" s="343"/>
      <c r="AA63" s="343"/>
    </row>
    <row r="64" spans="1:31" ht="20.100000000000001" customHeight="1">
      <c r="F64" s="343"/>
      <c r="G64" s="343"/>
      <c r="H64" s="343"/>
      <c r="I64" s="343"/>
      <c r="J64" s="343"/>
      <c r="K64" s="343"/>
      <c r="L64" s="343"/>
      <c r="M64" s="343"/>
      <c r="AA64" s="343"/>
    </row>
    <row r="65" spans="6:27" ht="20.100000000000001" customHeight="1">
      <c r="F65" s="343"/>
      <c r="G65" s="343"/>
      <c r="H65" s="343"/>
      <c r="I65" s="343"/>
      <c r="J65" s="343"/>
      <c r="K65" s="343"/>
      <c r="L65" s="343"/>
      <c r="M65" s="343"/>
      <c r="AA65" s="343"/>
    </row>
    <row r="66" spans="6:27" ht="20.100000000000001" customHeight="1">
      <c r="F66" s="343"/>
      <c r="G66" s="343"/>
      <c r="H66" s="343"/>
      <c r="I66" s="343"/>
      <c r="J66" s="343"/>
      <c r="K66" s="343"/>
      <c r="L66" s="343"/>
      <c r="M66" s="343"/>
      <c r="AA66" s="343"/>
    </row>
    <row r="67" spans="6:27" ht="20.100000000000001" customHeight="1">
      <c r="F67" s="343"/>
      <c r="G67" s="343"/>
      <c r="H67" s="343"/>
      <c r="I67" s="343"/>
      <c r="J67" s="343"/>
      <c r="K67" s="343"/>
      <c r="L67" s="343"/>
      <c r="M67" s="343"/>
      <c r="AA67" s="343"/>
    </row>
    <row r="68" spans="6:27" ht="20.100000000000001" customHeight="1">
      <c r="F68" s="343"/>
      <c r="G68" s="343"/>
      <c r="H68" s="343"/>
      <c r="I68" s="343"/>
      <c r="J68" s="343"/>
      <c r="K68" s="343"/>
      <c r="L68" s="343"/>
      <c r="M68" s="343"/>
      <c r="AA68" s="343"/>
    </row>
    <row r="69" spans="6:27" ht="20.100000000000001" customHeight="1">
      <c r="F69" s="343"/>
      <c r="G69" s="343"/>
      <c r="H69" s="343"/>
      <c r="I69" s="343"/>
      <c r="J69" s="343"/>
      <c r="K69" s="343"/>
      <c r="L69" s="343"/>
      <c r="M69" s="343"/>
      <c r="AA69" s="343"/>
    </row>
    <row r="70" spans="6:27" ht="20.100000000000001" customHeight="1">
      <c r="F70" s="343"/>
      <c r="G70" s="343"/>
      <c r="H70" s="343"/>
      <c r="I70" s="343"/>
      <c r="J70" s="343"/>
      <c r="K70" s="343"/>
      <c r="L70" s="343"/>
      <c r="M70" s="343"/>
      <c r="AA70" s="343"/>
    </row>
    <row r="71" spans="6:27" ht="20.100000000000001" customHeight="1">
      <c r="F71" s="343"/>
      <c r="G71" s="343"/>
      <c r="H71" s="343"/>
      <c r="I71" s="343"/>
      <c r="J71" s="343"/>
      <c r="K71" s="343"/>
      <c r="L71" s="343"/>
      <c r="M71" s="343"/>
      <c r="AA71" s="343"/>
    </row>
    <row r="72" spans="6:27" ht="20.100000000000001" customHeight="1">
      <c r="F72" s="343"/>
      <c r="G72" s="343"/>
      <c r="H72" s="343"/>
      <c r="I72" s="343"/>
      <c r="J72" s="343"/>
      <c r="K72" s="343"/>
      <c r="L72" s="343"/>
      <c r="M72" s="343"/>
      <c r="AA72" s="343"/>
    </row>
    <row r="73" spans="6:27" ht="20.100000000000001" customHeight="1">
      <c r="F73" s="343"/>
      <c r="G73" s="343"/>
      <c r="H73" s="343"/>
      <c r="I73" s="343"/>
      <c r="J73" s="343"/>
      <c r="K73" s="343"/>
      <c r="L73" s="343"/>
      <c r="M73" s="343"/>
      <c r="AA73" s="343"/>
    </row>
    <row r="74" spans="6:27" ht="20.100000000000001" customHeight="1">
      <c r="F74" s="343"/>
      <c r="G74" s="343"/>
      <c r="H74" s="343"/>
      <c r="I74" s="343"/>
      <c r="J74" s="343"/>
      <c r="K74" s="343"/>
      <c r="L74" s="343"/>
      <c r="M74" s="343"/>
      <c r="AA74" s="343"/>
    </row>
    <row r="75" spans="6:27" ht="20.100000000000001" customHeight="1">
      <c r="F75" s="343"/>
      <c r="G75" s="343"/>
      <c r="H75" s="343"/>
      <c r="I75" s="343"/>
      <c r="J75" s="343"/>
      <c r="K75" s="343"/>
      <c r="L75" s="343"/>
      <c r="M75" s="343"/>
      <c r="AA75" s="343"/>
    </row>
    <row r="76" spans="6:27" ht="20.100000000000001" customHeight="1">
      <c r="F76" s="343"/>
      <c r="G76" s="343"/>
      <c r="H76" s="343"/>
      <c r="I76" s="343"/>
      <c r="J76" s="343"/>
      <c r="K76" s="343"/>
      <c r="L76" s="343"/>
      <c r="M76" s="343"/>
      <c r="AA76" s="343"/>
    </row>
    <row r="77" spans="6:27" ht="20.100000000000001" customHeight="1">
      <c r="F77" s="343"/>
      <c r="G77" s="343"/>
      <c r="H77" s="343"/>
      <c r="I77" s="343"/>
      <c r="J77" s="343"/>
      <c r="K77" s="343"/>
      <c r="L77" s="343"/>
      <c r="M77" s="343"/>
      <c r="AA77" s="343"/>
    </row>
    <row r="78" spans="6:27" ht="20.100000000000001" customHeight="1">
      <c r="F78" s="343"/>
      <c r="G78" s="343"/>
      <c r="H78" s="343"/>
      <c r="I78" s="343"/>
      <c r="J78" s="343"/>
      <c r="K78" s="343"/>
      <c r="L78" s="343"/>
      <c r="M78" s="343"/>
      <c r="AA78" s="343"/>
    </row>
    <row r="79" spans="6:27" ht="20.100000000000001" customHeight="1">
      <c r="F79" s="343"/>
      <c r="G79" s="343"/>
      <c r="H79" s="343"/>
      <c r="I79" s="343"/>
      <c r="J79" s="343"/>
      <c r="K79" s="343"/>
      <c r="L79" s="343"/>
      <c r="M79" s="343"/>
      <c r="N79" s="368"/>
      <c r="AA79" s="343"/>
    </row>
    <row r="80" spans="6:27" ht="20.100000000000001" customHeight="1">
      <c r="F80" s="343"/>
      <c r="G80" s="343"/>
      <c r="H80" s="343"/>
      <c r="I80" s="343"/>
      <c r="J80" s="343"/>
      <c r="K80" s="343"/>
      <c r="L80" s="343"/>
      <c r="M80" s="343"/>
      <c r="N80" s="368"/>
      <c r="AA80" s="343"/>
    </row>
    <row r="81" spans="6:27" ht="20.100000000000001" customHeight="1">
      <c r="F81" s="343"/>
      <c r="G81" s="343"/>
      <c r="H81" s="343"/>
      <c r="I81" s="343"/>
      <c r="J81" s="343"/>
      <c r="K81" s="343"/>
      <c r="L81" s="343"/>
      <c r="M81" s="343"/>
      <c r="N81" s="368"/>
      <c r="AA81" s="343"/>
    </row>
    <row r="82" spans="6:27" ht="20.100000000000001" customHeight="1">
      <c r="F82" s="343"/>
      <c r="G82" s="343"/>
      <c r="H82" s="343"/>
      <c r="I82" s="343"/>
      <c r="J82" s="343"/>
      <c r="K82" s="343"/>
      <c r="L82" s="343"/>
      <c r="M82" s="343"/>
      <c r="N82" s="368"/>
      <c r="AA82" s="343"/>
    </row>
    <row r="83" spans="6:27" ht="20.100000000000001" customHeight="1">
      <c r="F83" s="343"/>
      <c r="G83" s="343"/>
      <c r="H83" s="343"/>
      <c r="I83" s="343"/>
      <c r="J83" s="343"/>
      <c r="K83" s="343"/>
      <c r="L83" s="343"/>
      <c r="M83" s="343"/>
      <c r="N83" s="368"/>
      <c r="AA83" s="343"/>
    </row>
    <row r="84" spans="6:27" ht="20.100000000000001" customHeight="1">
      <c r="F84" s="343"/>
      <c r="G84" s="343"/>
      <c r="H84" s="343"/>
      <c r="I84" s="343"/>
      <c r="J84" s="343"/>
      <c r="K84" s="343"/>
      <c r="L84" s="343"/>
      <c r="M84" s="343"/>
      <c r="N84" s="368"/>
      <c r="AA84" s="343"/>
    </row>
    <row r="85" spans="6:27" ht="20.100000000000001" customHeight="1">
      <c r="F85" s="343"/>
      <c r="G85" s="343"/>
      <c r="H85" s="343"/>
      <c r="I85" s="343"/>
      <c r="J85" s="343"/>
      <c r="K85" s="343"/>
      <c r="L85" s="343"/>
      <c r="M85" s="343"/>
      <c r="AA85" s="343"/>
    </row>
    <row r="86" spans="6:27" ht="20.100000000000001" customHeight="1">
      <c r="F86" s="343"/>
      <c r="G86" s="343"/>
      <c r="H86" s="343"/>
      <c r="I86" s="343"/>
      <c r="J86" s="343"/>
      <c r="K86" s="343"/>
      <c r="L86" s="343"/>
      <c r="M86" s="343"/>
      <c r="AA86" s="343"/>
    </row>
    <row r="87" spans="6:27" ht="20.100000000000001" customHeight="1">
      <c r="F87" s="343"/>
      <c r="G87" s="343"/>
      <c r="H87" s="343"/>
      <c r="I87" s="343"/>
      <c r="J87" s="343"/>
      <c r="K87" s="343"/>
      <c r="L87" s="343"/>
      <c r="M87" s="343"/>
      <c r="AA87" s="343"/>
    </row>
    <row r="88" spans="6:27" ht="20.100000000000001" customHeight="1">
      <c r="F88" s="343"/>
      <c r="G88" s="343"/>
      <c r="H88" s="343"/>
      <c r="I88" s="343"/>
      <c r="J88" s="343"/>
      <c r="K88" s="343"/>
      <c r="L88" s="343"/>
      <c r="M88" s="343"/>
      <c r="AA88" s="343"/>
    </row>
    <row r="89" spans="6:27" ht="20.100000000000001" customHeight="1">
      <c r="F89" s="343"/>
      <c r="G89" s="343"/>
      <c r="H89" s="343"/>
      <c r="I89" s="343"/>
      <c r="J89" s="343"/>
      <c r="K89" s="343"/>
      <c r="L89" s="343"/>
      <c r="M89" s="343"/>
      <c r="AA89" s="343"/>
    </row>
    <row r="90" spans="6:27" ht="20.100000000000001" customHeight="1">
      <c r="F90" s="343"/>
      <c r="G90" s="343"/>
      <c r="H90" s="343"/>
      <c r="I90" s="343"/>
      <c r="J90" s="343"/>
      <c r="K90" s="343"/>
      <c r="L90" s="343"/>
      <c r="M90" s="343"/>
      <c r="AA90" s="343"/>
    </row>
    <row r="91" spans="6:27" ht="20.100000000000001" customHeight="1">
      <c r="F91" s="343"/>
      <c r="G91" s="343"/>
      <c r="H91" s="343"/>
      <c r="I91" s="343"/>
      <c r="J91" s="343"/>
      <c r="K91" s="343"/>
      <c r="L91" s="343"/>
      <c r="M91" s="343"/>
      <c r="AA91" s="343"/>
    </row>
    <row r="92" spans="6:27" ht="20.100000000000001" customHeight="1">
      <c r="F92" s="343"/>
      <c r="G92" s="343"/>
      <c r="H92" s="343"/>
      <c r="I92" s="343"/>
      <c r="J92" s="343"/>
      <c r="K92" s="343"/>
      <c r="L92" s="343"/>
      <c r="M92" s="343"/>
    </row>
    <row r="93" spans="6:27" ht="20.100000000000001" customHeight="1">
      <c r="F93" s="343"/>
      <c r="G93" s="343"/>
      <c r="H93" s="343"/>
      <c r="I93" s="343"/>
      <c r="J93" s="343"/>
      <c r="K93" s="343"/>
      <c r="L93" s="343"/>
      <c r="M93" s="343"/>
    </row>
    <row r="94" spans="6:27" ht="20.100000000000001" customHeight="1">
      <c r="F94" s="343"/>
      <c r="G94" s="343"/>
      <c r="H94" s="343"/>
      <c r="I94" s="343"/>
      <c r="J94" s="343"/>
      <c r="K94" s="343"/>
      <c r="L94" s="343"/>
      <c r="M94" s="343"/>
    </row>
    <row r="95" spans="6:27" ht="20.100000000000001" customHeight="1">
      <c r="F95" s="343"/>
      <c r="G95" s="343"/>
      <c r="H95" s="343"/>
      <c r="I95" s="343"/>
      <c r="J95" s="343"/>
      <c r="K95" s="343"/>
      <c r="L95" s="343"/>
      <c r="M95" s="343"/>
    </row>
    <row r="96" spans="6:27" ht="20.100000000000001" customHeight="1">
      <c r="F96" s="343"/>
      <c r="G96" s="343"/>
      <c r="H96" s="343"/>
      <c r="I96" s="343"/>
      <c r="J96" s="343"/>
      <c r="K96" s="343"/>
      <c r="L96" s="343"/>
      <c r="M96" s="343"/>
    </row>
    <row r="97" spans="6:13" ht="20.100000000000001" customHeight="1">
      <c r="F97" s="343" t="s">
        <v>1191</v>
      </c>
      <c r="G97" s="343"/>
      <c r="H97" s="343"/>
      <c r="I97" s="343"/>
      <c r="J97" s="343"/>
      <c r="K97" s="343"/>
      <c r="L97" s="343"/>
      <c r="M97" s="343"/>
    </row>
    <row r="98" spans="6:13" ht="20.100000000000001" customHeight="1">
      <c r="F98" s="343"/>
      <c r="G98" s="343"/>
      <c r="H98" s="343"/>
      <c r="I98" s="343"/>
      <c r="J98" s="343"/>
      <c r="K98" s="343"/>
      <c r="L98" s="343"/>
      <c r="M98" s="343"/>
    </row>
    <row r="99" spans="6:13" ht="20.100000000000001" customHeight="1">
      <c r="F99" s="343"/>
      <c r="G99" s="343"/>
      <c r="H99" s="343"/>
      <c r="I99" s="343"/>
      <c r="J99" s="343"/>
      <c r="K99" s="343"/>
      <c r="L99" s="343"/>
      <c r="M99" s="343"/>
    </row>
    <row r="100" spans="6:13" ht="20.100000000000001" customHeight="1">
      <c r="F100" s="343"/>
      <c r="G100" s="343"/>
      <c r="H100" s="343"/>
      <c r="I100" s="343"/>
      <c r="J100" s="343"/>
      <c r="K100" s="343"/>
      <c r="L100" s="343"/>
      <c r="M100" s="343"/>
    </row>
    <row r="101" spans="6:13" ht="20.100000000000001" customHeight="1">
      <c r="K101" s="343"/>
      <c r="L101" s="343"/>
      <c r="M101" s="343"/>
    </row>
    <row r="102" spans="6:13" ht="20.100000000000001" customHeight="1">
      <c r="K102" s="343"/>
      <c r="L102" s="343"/>
      <c r="M102" s="343"/>
    </row>
    <row r="103" spans="6:13" ht="20.100000000000001" customHeight="1">
      <c r="K103" s="343"/>
      <c r="L103" s="343"/>
    </row>
  </sheetData>
  <sheetProtection password="828E" sheet="1" objects="1" scenarios="1"/>
  <mergeCells count="19">
    <mergeCell ref="A1:D1"/>
    <mergeCell ref="A12:A16"/>
    <mergeCell ref="A17:A19"/>
    <mergeCell ref="A3:A9"/>
    <mergeCell ref="A42:D45"/>
    <mergeCell ref="F10:I10"/>
    <mergeCell ref="F11:I11"/>
    <mergeCell ref="D12:D14"/>
    <mergeCell ref="A21:D41"/>
    <mergeCell ref="K4:N4"/>
    <mergeCell ref="F12:I12"/>
    <mergeCell ref="G5:I5"/>
    <mergeCell ref="G3:J3"/>
    <mergeCell ref="F6:F9"/>
    <mergeCell ref="G6:I6"/>
    <mergeCell ref="G7:I7"/>
    <mergeCell ref="G8:I8"/>
    <mergeCell ref="G9:I9"/>
    <mergeCell ref="F4:J4"/>
  </mergeCells>
  <phoneticPr fontId="4" type="noConversion"/>
  <pageMargins left="0.7" right="0.7" top="0.75" bottom="0.75" header="0.3" footer="0.3"/>
  <drawing r:id="rId1"/>
  <legacyDrawing r:id="rId2"/>
  <oleObjects>
    <oleObject progId="Equations" shapeId="21506" r:id="rId3"/>
    <oleObject progId="Equations" shapeId="21507" r:id="rId4"/>
    <oleObject progId="Equations" shapeId="21508" r:id="rId5"/>
    <oleObject progId="Equations" shapeId="21509" r:id="rId6"/>
    <oleObject progId="Equations" shapeId="21511" r:id="rId7"/>
    <oleObject progId="Equations" shapeId="21512" r:id="rId8"/>
  </oleObjects>
</worksheet>
</file>

<file path=xl/worksheets/sheet24.xml><?xml version="1.0" encoding="utf-8"?>
<worksheet xmlns="http://schemas.openxmlformats.org/spreadsheetml/2006/main" xmlns:r="http://schemas.openxmlformats.org/officeDocument/2006/relationships">
  <sheetPr codeName="Sheet24"/>
  <dimension ref="A1:AE105"/>
  <sheetViews>
    <sheetView workbookViewId="0">
      <selection activeCell="G17" sqref="G17:I17"/>
    </sheetView>
  </sheetViews>
  <sheetFormatPr defaultColWidth="15.625" defaultRowHeight="20.100000000000001" customHeight="1"/>
  <cols>
    <col min="1" max="1" width="15.625" style="262"/>
    <col min="2" max="2" width="25.875" style="262" customWidth="1"/>
    <col min="3" max="3" width="15.625" style="263"/>
    <col min="4" max="4" width="17" style="262" customWidth="1"/>
    <col min="5" max="5" width="7.875" style="262" customWidth="1"/>
    <col min="6" max="18" width="10.625" style="262" customWidth="1"/>
    <col min="19" max="25" width="8.625" style="262" customWidth="1"/>
    <col min="26" max="16384" width="15.625" style="262"/>
  </cols>
  <sheetData>
    <row r="1" spans="1:29" ht="21.95" customHeight="1">
      <c r="A1" s="775" t="s">
        <v>2278</v>
      </c>
      <c r="B1" s="776"/>
      <c r="C1" s="776"/>
      <c r="D1" s="776"/>
    </row>
    <row r="2" spans="1:29" ht="20.100000000000001" customHeight="1">
      <c r="A2" s="266" t="s">
        <v>753</v>
      </c>
      <c r="B2" s="266" t="s">
        <v>754</v>
      </c>
      <c r="C2" s="653" t="s">
        <v>755</v>
      </c>
      <c r="D2" s="266" t="s">
        <v>762</v>
      </c>
      <c r="F2" s="1330" t="s">
        <v>2321</v>
      </c>
      <c r="G2" s="1330"/>
      <c r="H2" s="1330"/>
      <c r="I2" s="1330"/>
      <c r="J2" s="1330"/>
    </row>
    <row r="3" spans="1:29" ht="20.100000000000001" customHeight="1">
      <c r="A3" s="570" t="s">
        <v>2021</v>
      </c>
      <c r="B3" s="266" t="s">
        <v>2289</v>
      </c>
      <c r="C3" s="326">
        <v>250</v>
      </c>
      <c r="D3" s="266" t="s">
        <v>137</v>
      </c>
      <c r="F3" s="1186" t="s">
        <v>2291</v>
      </c>
      <c r="G3" s="1328" t="s">
        <v>2296</v>
      </c>
      <c r="H3" s="1329" t="s">
        <v>2290</v>
      </c>
      <c r="I3" s="1328" t="s">
        <v>2300</v>
      </c>
      <c r="L3" s="333"/>
      <c r="M3" s="333"/>
      <c r="T3" s="342"/>
      <c r="U3" s="342"/>
      <c r="V3" s="342"/>
      <c r="W3" s="342"/>
      <c r="X3" s="342"/>
      <c r="Y3" s="342">
        <v>0</v>
      </c>
      <c r="Z3" s="342"/>
      <c r="AA3" s="342"/>
      <c r="AB3" s="342"/>
    </row>
    <row r="4" spans="1:29" ht="20.100000000000001" customHeight="1">
      <c r="A4" s="571"/>
      <c r="B4" s="266" t="s">
        <v>2319</v>
      </c>
      <c r="C4" s="326">
        <v>5.5</v>
      </c>
      <c r="D4" s="266" t="s">
        <v>1545</v>
      </c>
      <c r="F4" s="1187"/>
      <c r="G4" s="1328"/>
      <c r="H4" s="1329"/>
      <c r="I4" s="1019"/>
      <c r="T4" s="342"/>
      <c r="U4" s="342"/>
      <c r="V4" s="342"/>
      <c r="W4" s="342"/>
      <c r="X4" s="342"/>
      <c r="Y4" s="342">
        <v>2</v>
      </c>
      <c r="Z4" s="342"/>
      <c r="AA4" s="342"/>
      <c r="AB4" s="342"/>
    </row>
    <row r="5" spans="1:29" ht="20.100000000000001" customHeight="1">
      <c r="A5" s="1081" t="s">
        <v>2297</v>
      </c>
      <c r="B5" s="266" t="s">
        <v>2303</v>
      </c>
      <c r="C5" s="326">
        <v>1.3</v>
      </c>
      <c r="D5" s="266" t="s">
        <v>2288</v>
      </c>
      <c r="F5" s="1188"/>
      <c r="G5" s="326">
        <v>1000</v>
      </c>
      <c r="H5" s="326">
        <v>1256</v>
      </c>
      <c r="I5" s="412">
        <f>(G5/100*60)*(H5/10000)/0.95</f>
        <v>79.326315789473682</v>
      </c>
      <c r="T5" s="342"/>
      <c r="U5" s="342"/>
      <c r="V5" s="342"/>
      <c r="W5" s="343"/>
      <c r="X5" s="343"/>
      <c r="Y5" s="343">
        <v>2</v>
      </c>
      <c r="Z5" s="343"/>
      <c r="AA5" s="343"/>
      <c r="AB5" s="343"/>
      <c r="AC5" s="343"/>
    </row>
    <row r="6" spans="1:29" ht="20.100000000000001" customHeight="1">
      <c r="A6" s="1083"/>
      <c r="B6" s="266" t="s">
        <v>2301</v>
      </c>
      <c r="C6" s="379">
        <f>C5*C3</f>
        <v>325</v>
      </c>
      <c r="D6" s="266" t="s">
        <v>2304</v>
      </c>
      <c r="F6" s="1327" t="s">
        <v>2292</v>
      </c>
      <c r="G6" s="1328" t="s">
        <v>2293</v>
      </c>
      <c r="H6" s="1329" t="s">
        <v>2294</v>
      </c>
      <c r="I6" s="1328" t="s">
        <v>2300</v>
      </c>
      <c r="T6" s="342"/>
      <c r="U6" s="342"/>
      <c r="V6" s="343"/>
      <c r="W6" s="344"/>
      <c r="X6" s="344"/>
      <c r="Y6" s="343">
        <v>2</v>
      </c>
      <c r="Z6" s="344"/>
      <c r="AA6" s="344"/>
      <c r="AB6" s="344"/>
      <c r="AC6" s="344"/>
    </row>
    <row r="7" spans="1:29" ht="20.100000000000001" customHeight="1">
      <c r="A7" s="1081" t="s">
        <v>2298</v>
      </c>
      <c r="B7" s="266" t="s">
        <v>2302</v>
      </c>
      <c r="C7" s="379">
        <v>1.2</v>
      </c>
      <c r="D7" s="266" t="s">
        <v>2305</v>
      </c>
      <c r="F7" s="1327"/>
      <c r="G7" s="1328"/>
      <c r="H7" s="1329"/>
      <c r="I7" s="1019"/>
      <c r="T7" s="342"/>
      <c r="U7" s="342"/>
      <c r="V7" s="344"/>
      <c r="W7" s="344"/>
      <c r="X7" s="344"/>
      <c r="Y7" s="349">
        <v>0</v>
      </c>
    </row>
    <row r="8" spans="1:29" ht="20.100000000000001" customHeight="1">
      <c r="A8" s="1083"/>
      <c r="B8" s="266" t="s">
        <v>2306</v>
      </c>
      <c r="C8" s="653">
        <f>C7*C4</f>
        <v>6.6</v>
      </c>
      <c r="D8" s="266" t="s">
        <v>2307</v>
      </c>
      <c r="F8" s="1327"/>
      <c r="G8" s="326">
        <v>400</v>
      </c>
      <c r="H8" s="326">
        <v>0.40400000000000003</v>
      </c>
      <c r="I8" s="412">
        <f>G8*H8/0.95</f>
        <v>170.10526315789477</v>
      </c>
      <c r="U8" s="343"/>
      <c r="V8" s="344"/>
      <c r="W8" s="344"/>
      <c r="X8" s="344"/>
      <c r="Y8" s="343"/>
      <c r="Z8" s="344"/>
      <c r="AA8" s="344"/>
    </row>
    <row r="9" spans="1:29" ht="20.100000000000001" customHeight="1">
      <c r="A9" s="1081" t="s">
        <v>2317</v>
      </c>
      <c r="B9" s="266" t="s">
        <v>2314</v>
      </c>
      <c r="C9" s="326">
        <v>0.7</v>
      </c>
      <c r="D9" s="573" t="s">
        <v>310</v>
      </c>
      <c r="F9" s="343" t="s">
        <v>2299</v>
      </c>
      <c r="G9" s="343"/>
      <c r="H9" s="343"/>
      <c r="U9" s="344"/>
      <c r="V9" s="344"/>
      <c r="W9" s="344"/>
      <c r="X9" s="344"/>
      <c r="Y9" s="343"/>
      <c r="Z9" s="344"/>
      <c r="AA9" s="344"/>
      <c r="AB9" s="344"/>
    </row>
    <row r="10" spans="1:29" ht="20.100000000000001" customHeight="1">
      <c r="A10" s="1083"/>
      <c r="B10" s="266" t="s">
        <v>2316</v>
      </c>
      <c r="C10" s="379">
        <f>C8*10^6*C6/10^3/60/C9/1000</f>
        <v>51.071428571428569</v>
      </c>
      <c r="D10" s="529" t="s">
        <v>2315</v>
      </c>
      <c r="F10" s="343"/>
      <c r="G10" s="343"/>
      <c r="H10" s="343"/>
      <c r="U10" s="344"/>
      <c r="V10" s="344"/>
      <c r="W10" s="344"/>
      <c r="X10" s="344"/>
      <c r="Y10" s="344"/>
    </row>
    <row r="11" spans="1:29" ht="20.100000000000001" customHeight="1">
      <c r="A11" s="567"/>
      <c r="B11" s="568"/>
      <c r="C11" s="564"/>
      <c r="D11" s="564"/>
      <c r="E11" s="343"/>
      <c r="F11" s="343" t="s">
        <v>2334</v>
      </c>
      <c r="G11" s="343"/>
      <c r="H11" s="343"/>
      <c r="U11" s="344"/>
      <c r="V11" s="344"/>
      <c r="W11" s="344"/>
      <c r="X11" s="344"/>
      <c r="Y11" s="344"/>
    </row>
    <row r="12" spans="1:29" ht="20.100000000000001" customHeight="1">
      <c r="A12" s="1233" t="s">
        <v>2347</v>
      </c>
      <c r="B12" s="1233"/>
      <c r="C12" s="1233"/>
      <c r="D12" s="1233"/>
      <c r="F12" s="1186" t="s">
        <v>2322</v>
      </c>
      <c r="G12" s="1328" t="s">
        <v>2324</v>
      </c>
      <c r="H12" s="1329" t="s">
        <v>2290</v>
      </c>
      <c r="I12" s="1328" t="s">
        <v>2329</v>
      </c>
      <c r="J12" s="1328" t="s">
        <v>2325</v>
      </c>
      <c r="V12" s="344"/>
      <c r="W12" s="344"/>
      <c r="X12" s="344"/>
      <c r="Y12" s="344"/>
      <c r="Z12" s="344"/>
    </row>
    <row r="13" spans="1:29" ht="20.100000000000001" customHeight="1">
      <c r="A13" s="1236"/>
      <c r="B13" s="1236"/>
      <c r="C13" s="1236"/>
      <c r="D13" s="1236"/>
      <c r="F13" s="1187"/>
      <c r="G13" s="1328"/>
      <c r="H13" s="1329"/>
      <c r="I13" s="1019"/>
      <c r="J13" s="1019"/>
      <c r="K13" s="262" t="s">
        <v>2330</v>
      </c>
      <c r="T13" s="344"/>
      <c r="U13" s="344"/>
      <c r="V13" s="344"/>
      <c r="W13" s="344"/>
      <c r="X13" s="344"/>
      <c r="Y13" s="344"/>
      <c r="Z13" s="344"/>
    </row>
    <row r="14" spans="1:29" ht="20.100000000000001" customHeight="1">
      <c r="A14" s="1236"/>
      <c r="B14" s="1236"/>
      <c r="C14" s="1236"/>
      <c r="D14" s="1236"/>
      <c r="F14" s="1188"/>
      <c r="G14" s="326">
        <v>1000</v>
      </c>
      <c r="H14" s="326">
        <v>1256</v>
      </c>
      <c r="I14" s="326">
        <v>0.98</v>
      </c>
      <c r="J14" s="412">
        <f>G14/H14/I14</f>
        <v>0.81242688158065779</v>
      </c>
      <c r="T14" s="344"/>
      <c r="U14" s="344"/>
      <c r="W14" s="344"/>
      <c r="X14" s="344"/>
      <c r="Y14" s="344"/>
      <c r="Z14" s="344"/>
    </row>
    <row r="15" spans="1:29" ht="20.100000000000001" customHeight="1">
      <c r="A15" s="1236"/>
      <c r="B15" s="1236"/>
      <c r="C15" s="1236"/>
      <c r="D15" s="1236"/>
      <c r="F15" s="1327" t="s">
        <v>2323</v>
      </c>
      <c r="G15" s="1328" t="s">
        <v>2327</v>
      </c>
      <c r="H15" s="1329" t="s">
        <v>2294</v>
      </c>
      <c r="I15" s="1328" t="s">
        <v>2329</v>
      </c>
      <c r="J15" s="1326" t="s">
        <v>2328</v>
      </c>
      <c r="R15" s="344"/>
      <c r="S15" s="344"/>
      <c r="W15" s="344"/>
      <c r="X15" s="344"/>
      <c r="Y15" s="344"/>
    </row>
    <row r="16" spans="1:29" ht="20.100000000000001" customHeight="1">
      <c r="A16" s="1236"/>
      <c r="B16" s="1236"/>
      <c r="C16" s="1236"/>
      <c r="D16" s="1236"/>
      <c r="F16" s="1327"/>
      <c r="G16" s="1328"/>
      <c r="H16" s="1329"/>
      <c r="I16" s="1019"/>
      <c r="J16" s="1019"/>
      <c r="K16" s="262" t="s">
        <v>2331</v>
      </c>
      <c r="W16" s="344"/>
      <c r="X16" s="344"/>
      <c r="Z16" s="344"/>
    </row>
    <row r="17" spans="1:27" ht="20.100000000000001" customHeight="1">
      <c r="A17" s="1236"/>
      <c r="B17" s="1236"/>
      <c r="C17" s="1236"/>
      <c r="D17" s="1236"/>
      <c r="F17" s="1327"/>
      <c r="G17" s="326">
        <v>4</v>
      </c>
      <c r="H17" s="326">
        <v>0.40400000000000003</v>
      </c>
      <c r="I17" s="326">
        <v>0.9</v>
      </c>
      <c r="J17" s="412">
        <f>2*PI()*G17/(H17/60000)/10^6/I17+0.2</f>
        <v>4.3473170344419714</v>
      </c>
      <c r="K17" s="262" t="s">
        <v>2332</v>
      </c>
      <c r="P17" s="343"/>
      <c r="W17" s="344"/>
      <c r="X17" s="344"/>
      <c r="Y17" s="344"/>
      <c r="Z17" s="344"/>
    </row>
    <row r="18" spans="1:27" ht="20.100000000000001" customHeight="1">
      <c r="A18" s="1236"/>
      <c r="B18" s="1236"/>
      <c r="C18" s="1236"/>
      <c r="D18" s="1236"/>
      <c r="F18" s="343" t="s">
        <v>2333</v>
      </c>
      <c r="G18" s="343"/>
      <c r="H18" s="343"/>
      <c r="O18" s="343"/>
      <c r="V18" s="344"/>
      <c r="W18" s="344"/>
      <c r="X18" s="344"/>
      <c r="Y18" s="344"/>
    </row>
    <row r="19" spans="1:27" ht="20.100000000000001" customHeight="1">
      <c r="A19" s="1236"/>
      <c r="B19" s="1236"/>
      <c r="C19" s="1236"/>
      <c r="D19" s="1236"/>
      <c r="F19" s="343"/>
      <c r="G19" s="343"/>
      <c r="H19" s="343"/>
      <c r="V19" s="344"/>
      <c r="W19" s="344"/>
      <c r="X19" s="344"/>
    </row>
    <row r="20" spans="1:27" ht="20.100000000000001" customHeight="1">
      <c r="A20" s="1236"/>
      <c r="B20" s="1236"/>
      <c r="C20" s="1236"/>
      <c r="D20" s="1236"/>
      <c r="F20" s="343" t="s">
        <v>2320</v>
      </c>
      <c r="G20" s="343"/>
      <c r="H20" s="343"/>
      <c r="V20" s="344"/>
      <c r="W20" s="344"/>
    </row>
    <row r="21" spans="1:27" ht="20.100000000000001" customHeight="1">
      <c r="A21" s="1236"/>
      <c r="B21" s="1236"/>
      <c r="C21" s="1236"/>
      <c r="D21" s="1236"/>
      <c r="F21" s="345" t="s">
        <v>2308</v>
      </c>
      <c r="G21" s="345" t="s">
        <v>2310</v>
      </c>
      <c r="H21" s="345" t="s">
        <v>2312</v>
      </c>
      <c r="V21" s="344"/>
      <c r="W21" s="344"/>
    </row>
    <row r="22" spans="1:27" ht="20.100000000000001" customHeight="1">
      <c r="A22" s="1236"/>
      <c r="B22" s="1236"/>
      <c r="C22" s="1236"/>
      <c r="D22" s="1236"/>
      <c r="F22" s="266" t="s">
        <v>2309</v>
      </c>
      <c r="G22" s="266" t="s">
        <v>2311</v>
      </c>
      <c r="H22" s="266" t="s">
        <v>2313</v>
      </c>
      <c r="V22" s="344"/>
      <c r="W22" s="344"/>
      <c r="Y22" s="343"/>
    </row>
    <row r="23" spans="1:27" ht="20.100000000000001" customHeight="1">
      <c r="A23" s="1236"/>
      <c r="B23" s="1236"/>
      <c r="C23" s="1236"/>
      <c r="D23" s="1236"/>
      <c r="F23" s="721"/>
      <c r="G23" s="343"/>
      <c r="H23" s="343"/>
      <c r="N23" s="333"/>
      <c r="V23" s="344"/>
      <c r="W23" s="344"/>
      <c r="X23" s="343"/>
      <c r="Z23" s="343"/>
    </row>
    <row r="24" spans="1:27" ht="20.100000000000001" customHeight="1">
      <c r="A24" s="343" t="s">
        <v>2344</v>
      </c>
      <c r="B24" s="382"/>
      <c r="C24" s="382"/>
      <c r="D24" s="382"/>
      <c r="F24" s="343"/>
      <c r="G24" s="343"/>
      <c r="H24" s="343"/>
      <c r="Q24" s="343"/>
      <c r="R24" s="343"/>
      <c r="V24" s="344"/>
      <c r="Z24" s="343"/>
    </row>
    <row r="25" spans="1:27" ht="20.100000000000001" customHeight="1">
      <c r="A25" s="667" t="s">
        <v>2335</v>
      </c>
      <c r="B25" s="667" t="s">
        <v>2336</v>
      </c>
      <c r="C25" s="1303" t="s">
        <v>2343</v>
      </c>
      <c r="D25" s="1303"/>
      <c r="F25" s="343"/>
      <c r="G25" s="343"/>
      <c r="H25" s="343"/>
      <c r="Z25" s="343"/>
    </row>
    <row r="26" spans="1:27" ht="20.100000000000001" customHeight="1">
      <c r="A26" s="1327" t="s">
        <v>2308</v>
      </c>
      <c r="B26" s="777" t="s">
        <v>2342</v>
      </c>
      <c r="C26" s="1312"/>
      <c r="D26" s="1312"/>
      <c r="F26" s="343"/>
      <c r="G26" s="343"/>
      <c r="H26" s="343"/>
      <c r="U26" s="343"/>
      <c r="Z26" s="343"/>
    </row>
    <row r="27" spans="1:27" ht="20.100000000000001" customHeight="1">
      <c r="A27" s="1327"/>
      <c r="B27" s="777"/>
      <c r="C27" s="1312"/>
      <c r="D27" s="1312"/>
      <c r="F27" s="343"/>
      <c r="G27" s="343"/>
      <c r="H27" s="343"/>
      <c r="S27" s="343"/>
      <c r="T27" s="343"/>
      <c r="Z27" s="343"/>
    </row>
    <row r="28" spans="1:27" ht="20.100000000000001" customHeight="1">
      <c r="A28" s="1327"/>
      <c r="B28" s="777"/>
      <c r="C28" s="1312"/>
      <c r="D28" s="1312"/>
      <c r="F28" s="343"/>
      <c r="G28" s="343"/>
      <c r="H28" s="343"/>
      <c r="P28" s="343"/>
      <c r="Z28" s="343"/>
    </row>
    <row r="29" spans="1:27" ht="20.100000000000001" customHeight="1">
      <c r="A29" s="1327"/>
      <c r="B29" s="777"/>
      <c r="C29" s="1312"/>
      <c r="D29" s="1312"/>
      <c r="F29" s="343"/>
      <c r="G29" s="343"/>
      <c r="H29" s="343"/>
      <c r="Z29" s="343"/>
    </row>
    <row r="30" spans="1:27" ht="20.100000000000001" customHeight="1">
      <c r="A30" s="1327"/>
      <c r="B30" s="777"/>
      <c r="C30" s="1312"/>
      <c r="D30" s="1312"/>
      <c r="F30" s="343"/>
      <c r="G30" s="343"/>
      <c r="H30" s="343"/>
      <c r="Z30" s="343"/>
    </row>
    <row r="31" spans="1:27" ht="20.100000000000001" customHeight="1">
      <c r="A31" s="1327" t="s">
        <v>2310</v>
      </c>
      <c r="B31" s="777" t="s">
        <v>2341</v>
      </c>
      <c r="C31" s="1312"/>
      <c r="D31" s="1312"/>
      <c r="F31" s="343"/>
      <c r="G31" s="343"/>
      <c r="H31" s="343"/>
      <c r="Z31" s="343"/>
    </row>
    <row r="32" spans="1:27" ht="20.100000000000001" customHeight="1">
      <c r="A32" s="1327"/>
      <c r="B32" s="777"/>
      <c r="C32" s="1312"/>
      <c r="D32" s="1312"/>
      <c r="F32" s="343"/>
      <c r="G32" s="343"/>
      <c r="H32" s="343"/>
      <c r="AA32" s="343"/>
    </row>
    <row r="33" spans="1:27" ht="20.100000000000001" customHeight="1">
      <c r="A33" s="1327"/>
      <c r="B33" s="777"/>
      <c r="C33" s="1312"/>
      <c r="D33" s="1312"/>
      <c r="F33" s="343"/>
      <c r="G33" s="343"/>
      <c r="H33" s="343"/>
      <c r="AA33" s="343"/>
    </row>
    <row r="34" spans="1:27" ht="20.100000000000001" customHeight="1">
      <c r="A34" s="1327"/>
      <c r="B34" s="777"/>
      <c r="C34" s="1312"/>
      <c r="D34" s="1312"/>
      <c r="F34" s="343"/>
      <c r="G34" s="343"/>
      <c r="H34" s="343"/>
      <c r="AA34" s="343"/>
    </row>
    <row r="35" spans="1:27" ht="20.100000000000001" customHeight="1">
      <c r="A35" s="1327" t="s">
        <v>2338</v>
      </c>
      <c r="B35" s="777" t="s">
        <v>2340</v>
      </c>
      <c r="C35" s="1312"/>
      <c r="D35" s="1312"/>
      <c r="G35" s="343"/>
      <c r="H35" s="343"/>
      <c r="AA35" s="343"/>
    </row>
    <row r="36" spans="1:27" ht="20.100000000000001" customHeight="1">
      <c r="A36" s="1327"/>
      <c r="B36" s="777"/>
      <c r="C36" s="1312"/>
      <c r="D36" s="1312"/>
      <c r="F36" s="343"/>
      <c r="G36" s="343"/>
      <c r="H36" s="343"/>
      <c r="M36" s="384"/>
      <c r="AA36" s="343"/>
    </row>
    <row r="37" spans="1:27" ht="20.100000000000001" customHeight="1">
      <c r="A37" s="1327"/>
      <c r="B37" s="777"/>
      <c r="C37" s="1312"/>
      <c r="D37" s="1312"/>
      <c r="F37" s="343"/>
      <c r="G37" s="343"/>
      <c r="H37" s="343"/>
      <c r="M37" s="384"/>
      <c r="N37" s="333"/>
      <c r="AA37" s="343"/>
    </row>
    <row r="38" spans="1:27" ht="20.100000000000001" customHeight="1">
      <c r="A38" s="1327"/>
      <c r="B38" s="777"/>
      <c r="C38" s="1312"/>
      <c r="D38" s="1312"/>
      <c r="F38" s="343"/>
      <c r="G38" s="343"/>
      <c r="H38" s="343"/>
      <c r="M38" s="367"/>
      <c r="AA38" s="343"/>
    </row>
    <row r="39" spans="1:27" ht="20.100000000000001" customHeight="1">
      <c r="A39" s="1327" t="s">
        <v>2337</v>
      </c>
      <c r="B39" s="1331" t="s">
        <v>2339</v>
      </c>
      <c r="C39" s="1312"/>
      <c r="D39" s="1312"/>
      <c r="F39" s="343"/>
      <c r="G39" s="343"/>
      <c r="H39" s="343"/>
      <c r="M39" s="343"/>
      <c r="AA39" s="343"/>
    </row>
    <row r="40" spans="1:27" ht="20.100000000000001" customHeight="1">
      <c r="A40" s="1327"/>
      <c r="B40" s="1331"/>
      <c r="C40" s="1312"/>
      <c r="D40" s="1312"/>
      <c r="F40" s="343"/>
      <c r="G40" s="343"/>
      <c r="H40" s="343"/>
      <c r="J40" s="367"/>
      <c r="M40" s="343"/>
      <c r="AA40" s="343"/>
    </row>
    <row r="41" spans="1:27" ht="20.100000000000001" customHeight="1">
      <c r="A41" s="1327"/>
      <c r="B41" s="1331"/>
      <c r="C41" s="1312"/>
      <c r="D41" s="1312"/>
      <c r="F41" s="343"/>
      <c r="G41" s="343"/>
      <c r="H41" s="343"/>
      <c r="J41" s="367"/>
      <c r="K41" s="384"/>
      <c r="L41" s="384"/>
      <c r="M41" s="343"/>
      <c r="AA41" s="343"/>
    </row>
    <row r="42" spans="1:27" ht="20.100000000000001" customHeight="1">
      <c r="A42" s="1327"/>
      <c r="B42" s="1331"/>
      <c r="C42" s="1312"/>
      <c r="D42" s="1312"/>
      <c r="F42" s="343"/>
      <c r="G42" s="343"/>
      <c r="H42" s="343"/>
      <c r="J42" s="367"/>
      <c r="K42" s="384"/>
      <c r="L42" s="384"/>
      <c r="M42" s="343"/>
      <c r="AA42" s="343"/>
    </row>
    <row r="43" spans="1:27" ht="20.100000000000001" customHeight="1">
      <c r="A43" s="1327"/>
      <c r="B43" s="1331"/>
      <c r="C43" s="1312"/>
      <c r="D43" s="1312"/>
      <c r="F43" s="343"/>
      <c r="G43" s="343"/>
      <c r="H43" s="343"/>
      <c r="J43" s="367"/>
      <c r="K43" s="367"/>
      <c r="L43" s="367"/>
      <c r="M43" s="343"/>
      <c r="AA43" s="343"/>
    </row>
    <row r="44" spans="1:27" ht="20.100000000000001" customHeight="1">
      <c r="A44" s="343" t="s">
        <v>2345</v>
      </c>
      <c r="B44" s="575"/>
      <c r="C44" s="574"/>
      <c r="D44" s="574"/>
      <c r="F44" s="343"/>
      <c r="G44" s="343"/>
      <c r="H44" s="343"/>
      <c r="J44" s="343"/>
      <c r="K44" s="343"/>
      <c r="L44" s="343"/>
      <c r="M44" s="343"/>
      <c r="AA44" s="343"/>
    </row>
    <row r="45" spans="1:27" ht="20.100000000000001" customHeight="1">
      <c r="A45" s="576"/>
      <c r="B45" s="575"/>
      <c r="C45" s="574"/>
      <c r="D45" s="574"/>
      <c r="F45" s="399"/>
      <c r="G45" s="343"/>
      <c r="H45" s="343"/>
      <c r="J45" s="343"/>
      <c r="K45" s="343"/>
      <c r="L45" s="343"/>
      <c r="M45" s="343"/>
      <c r="AA45" s="343"/>
    </row>
    <row r="46" spans="1:27" ht="20.100000000000001" customHeight="1">
      <c r="A46" s="576"/>
      <c r="B46" s="575"/>
      <c r="C46" s="574"/>
      <c r="D46" s="574"/>
      <c r="F46" s="349"/>
      <c r="G46" s="343"/>
      <c r="H46" s="367"/>
      <c r="I46" s="367"/>
      <c r="J46" s="343"/>
      <c r="K46" s="343"/>
      <c r="L46" s="343"/>
      <c r="M46" s="343"/>
      <c r="AA46" s="343"/>
    </row>
    <row r="47" spans="1:27" ht="20.100000000000001" customHeight="1">
      <c r="A47" s="576"/>
      <c r="B47" s="575"/>
      <c r="C47" s="574"/>
      <c r="D47" s="574"/>
      <c r="F47" s="349"/>
      <c r="G47" s="343"/>
      <c r="H47" s="367"/>
      <c r="I47" s="367"/>
      <c r="J47" s="343"/>
      <c r="K47" s="343"/>
      <c r="L47" s="343"/>
      <c r="M47" s="343"/>
      <c r="AA47" s="343"/>
    </row>
    <row r="48" spans="1:27" ht="20.100000000000001" customHeight="1">
      <c r="A48" s="576"/>
      <c r="B48" s="575"/>
      <c r="C48" s="574"/>
      <c r="D48" s="574"/>
      <c r="F48" s="349"/>
      <c r="G48" s="343"/>
      <c r="H48" s="367"/>
      <c r="I48" s="367"/>
      <c r="J48" s="343"/>
      <c r="K48" s="343"/>
      <c r="L48" s="343"/>
      <c r="M48" s="343"/>
      <c r="N48" s="343"/>
      <c r="O48" s="343"/>
      <c r="AA48" s="343"/>
    </row>
    <row r="49" spans="1:31" ht="20.100000000000001" customHeight="1">
      <c r="A49" s="576"/>
      <c r="B49" s="575"/>
      <c r="C49" s="574"/>
      <c r="D49" s="574"/>
      <c r="F49" s="349"/>
      <c r="G49" s="343"/>
      <c r="H49" s="367"/>
      <c r="I49" s="367"/>
      <c r="J49" s="343"/>
      <c r="K49" s="343"/>
      <c r="L49" s="343"/>
      <c r="M49" s="343"/>
      <c r="N49" s="343"/>
      <c r="O49" s="343"/>
      <c r="AA49" s="343"/>
    </row>
    <row r="50" spans="1:31" ht="20.100000000000001" customHeight="1">
      <c r="A50" s="576"/>
      <c r="B50" s="575"/>
      <c r="C50" s="574"/>
      <c r="D50" s="574"/>
      <c r="F50" s="343"/>
      <c r="G50" s="343"/>
      <c r="H50" s="343"/>
      <c r="I50" s="343"/>
      <c r="J50" s="343"/>
      <c r="K50" s="343"/>
      <c r="L50" s="343"/>
      <c r="M50" s="343"/>
      <c r="N50" s="343"/>
      <c r="O50" s="343"/>
      <c r="Z50" s="343"/>
    </row>
    <row r="51" spans="1:31" ht="20.100000000000001" customHeight="1">
      <c r="A51" s="576"/>
      <c r="B51" s="575"/>
      <c r="C51" s="574"/>
      <c r="D51" s="574"/>
      <c r="F51" s="343"/>
      <c r="G51" s="343"/>
      <c r="H51" s="343"/>
      <c r="I51" s="343"/>
      <c r="J51" s="343"/>
      <c r="K51" s="343"/>
      <c r="L51" s="343"/>
      <c r="M51" s="343"/>
      <c r="N51" s="343"/>
      <c r="O51" s="343"/>
      <c r="Z51" s="343"/>
    </row>
    <row r="52" spans="1:31" ht="20.100000000000001" customHeight="1">
      <c r="A52" s="576"/>
      <c r="B52" s="575"/>
      <c r="C52" s="574"/>
      <c r="D52" s="574"/>
      <c r="F52" s="343"/>
      <c r="G52" s="343"/>
      <c r="H52" s="343"/>
      <c r="I52" s="343"/>
      <c r="J52" s="343"/>
      <c r="K52" s="343"/>
      <c r="L52" s="343"/>
      <c r="M52" s="343"/>
      <c r="N52" s="343"/>
      <c r="O52" s="343"/>
      <c r="Z52" s="343"/>
    </row>
    <row r="53" spans="1:31" ht="20.100000000000001" customHeight="1">
      <c r="A53" s="1227" t="s">
        <v>2346</v>
      </c>
      <c r="B53" s="1227"/>
      <c r="C53" s="1227"/>
      <c r="D53" s="1227"/>
      <c r="G53" s="343"/>
      <c r="H53" s="343"/>
      <c r="I53" s="343"/>
      <c r="J53" s="343"/>
      <c r="K53" s="343"/>
      <c r="L53" s="343"/>
      <c r="M53" s="343"/>
      <c r="Z53" s="343"/>
    </row>
    <row r="54" spans="1:31" ht="20.100000000000001" customHeight="1">
      <c r="A54" s="1227"/>
      <c r="B54" s="1227"/>
      <c r="C54" s="1227"/>
      <c r="D54" s="1227"/>
      <c r="G54" s="343"/>
      <c r="H54" s="343"/>
      <c r="I54" s="343"/>
      <c r="J54" s="343"/>
      <c r="K54" s="343"/>
      <c r="L54" s="343"/>
      <c r="M54" s="343"/>
      <c r="Q54" s="343"/>
      <c r="AD54" s="343"/>
    </row>
    <row r="55" spans="1:31" ht="20.100000000000001" customHeight="1">
      <c r="A55" s="1227"/>
      <c r="B55" s="1227"/>
      <c r="C55" s="1227"/>
      <c r="D55" s="1227"/>
      <c r="G55" s="343"/>
      <c r="H55" s="343"/>
      <c r="I55" s="343"/>
      <c r="J55" s="343"/>
      <c r="K55" s="343"/>
      <c r="L55" s="343"/>
      <c r="M55" s="343"/>
      <c r="Q55" s="343"/>
      <c r="R55" s="343"/>
      <c r="AD55" s="343"/>
    </row>
    <row r="56" spans="1:31" ht="20.100000000000001" customHeight="1">
      <c r="A56" s="1227"/>
      <c r="B56" s="1227"/>
      <c r="C56" s="1227"/>
      <c r="D56" s="1227"/>
      <c r="F56" s="343"/>
      <c r="G56" s="263"/>
      <c r="J56" s="343"/>
      <c r="K56" s="343"/>
      <c r="L56" s="343"/>
      <c r="M56" s="343"/>
      <c r="Q56" s="343"/>
      <c r="AD56" s="343"/>
    </row>
    <row r="57" spans="1:31" ht="20.100000000000001" customHeight="1">
      <c r="A57" s="389"/>
      <c r="B57" s="389"/>
      <c r="C57" s="389"/>
      <c r="D57" s="389"/>
      <c r="F57" s="343"/>
      <c r="G57" s="263"/>
      <c r="J57" s="343"/>
      <c r="K57" s="343"/>
      <c r="L57" s="343"/>
      <c r="M57" s="343"/>
      <c r="Q57" s="343"/>
      <c r="AD57" s="343"/>
    </row>
    <row r="58" spans="1:31" ht="20.100000000000001" customHeight="1">
      <c r="A58" s="652"/>
      <c r="B58" s="652"/>
      <c r="C58" s="652"/>
      <c r="D58" s="652"/>
      <c r="F58" s="343"/>
      <c r="G58" s="263"/>
      <c r="J58" s="343"/>
      <c r="K58" s="343"/>
      <c r="L58" s="343"/>
      <c r="M58" s="343"/>
      <c r="P58" s="343"/>
      <c r="Q58" s="343"/>
      <c r="AE58" s="343"/>
    </row>
    <row r="59" spans="1:31" ht="20.100000000000001" customHeight="1">
      <c r="A59" s="652"/>
      <c r="B59" s="652"/>
      <c r="C59" s="652"/>
      <c r="D59" s="652"/>
      <c r="F59" s="343"/>
      <c r="G59" s="343"/>
      <c r="H59" s="343"/>
      <c r="I59" s="343"/>
      <c r="J59" s="343"/>
      <c r="K59" s="343"/>
      <c r="L59" s="343"/>
      <c r="M59" s="343"/>
      <c r="P59" s="343"/>
      <c r="AA59" s="343"/>
    </row>
    <row r="60" spans="1:31" ht="20.100000000000001" customHeight="1">
      <c r="A60" s="652"/>
      <c r="F60" s="343"/>
      <c r="G60" s="343"/>
      <c r="H60" s="343"/>
      <c r="I60" s="343"/>
      <c r="J60" s="343"/>
      <c r="K60" s="343"/>
      <c r="L60" s="343"/>
      <c r="M60" s="343"/>
      <c r="P60" s="343"/>
      <c r="S60" s="343"/>
      <c r="AA60" s="343"/>
    </row>
    <row r="61" spans="1:31" ht="20.100000000000001" customHeight="1">
      <c r="F61" s="343"/>
      <c r="G61" s="343"/>
      <c r="H61" s="343"/>
      <c r="I61" s="343"/>
      <c r="J61" s="343"/>
      <c r="K61" s="343"/>
      <c r="L61" s="343"/>
      <c r="M61" s="343"/>
      <c r="P61" s="343"/>
      <c r="AA61" s="343"/>
    </row>
    <row r="62" spans="1:31" ht="20.100000000000001" customHeight="1">
      <c r="F62" s="343"/>
      <c r="G62" s="343"/>
      <c r="H62" s="343"/>
      <c r="I62" s="343"/>
      <c r="J62" s="343"/>
      <c r="K62" s="343"/>
      <c r="L62" s="343"/>
      <c r="M62" s="343"/>
      <c r="P62" s="343"/>
      <c r="AA62" s="343"/>
    </row>
    <row r="63" spans="1:31" ht="20.100000000000001" customHeight="1">
      <c r="F63" s="343"/>
      <c r="G63" s="343"/>
      <c r="H63" s="343"/>
      <c r="I63" s="343"/>
      <c r="J63" s="343"/>
      <c r="K63" s="343"/>
      <c r="L63" s="343"/>
      <c r="M63" s="343"/>
      <c r="AA63" s="343"/>
    </row>
    <row r="64" spans="1:31" ht="20.100000000000001" customHeight="1">
      <c r="F64" s="343"/>
      <c r="G64" s="343"/>
      <c r="H64" s="343"/>
      <c r="I64" s="343"/>
      <c r="J64" s="343"/>
      <c r="K64" s="343"/>
      <c r="L64" s="343"/>
      <c r="M64" s="343"/>
      <c r="AA64" s="343"/>
    </row>
    <row r="65" spans="6:27" ht="20.100000000000001" customHeight="1">
      <c r="F65" s="343"/>
      <c r="G65" s="343"/>
      <c r="H65" s="343"/>
      <c r="I65" s="343"/>
      <c r="J65" s="343"/>
      <c r="K65" s="343"/>
      <c r="L65" s="343"/>
      <c r="M65" s="343"/>
      <c r="AA65" s="343"/>
    </row>
    <row r="66" spans="6:27" ht="20.100000000000001" customHeight="1">
      <c r="F66" s="343"/>
      <c r="G66" s="343"/>
      <c r="H66" s="343"/>
      <c r="I66" s="343"/>
      <c r="J66" s="343"/>
      <c r="K66" s="343"/>
      <c r="L66" s="343"/>
      <c r="M66" s="343"/>
      <c r="AA66" s="343"/>
    </row>
    <row r="67" spans="6:27" ht="20.100000000000001" customHeight="1">
      <c r="F67" s="343"/>
      <c r="G67" s="343"/>
      <c r="H67" s="343"/>
      <c r="I67" s="343"/>
      <c r="J67" s="343"/>
      <c r="K67" s="343"/>
      <c r="L67" s="343"/>
      <c r="M67" s="343"/>
      <c r="AA67" s="343"/>
    </row>
    <row r="68" spans="6:27" ht="20.100000000000001" customHeight="1">
      <c r="F68" s="343"/>
      <c r="G68" s="343"/>
      <c r="H68" s="343"/>
      <c r="I68" s="343"/>
      <c r="J68" s="343"/>
      <c r="K68" s="343"/>
      <c r="L68" s="343"/>
      <c r="M68" s="343"/>
      <c r="AA68" s="343"/>
    </row>
    <row r="69" spans="6:27" ht="20.100000000000001" customHeight="1">
      <c r="F69" s="343"/>
      <c r="G69" s="343"/>
      <c r="H69" s="343"/>
      <c r="I69" s="343"/>
      <c r="J69" s="343"/>
      <c r="K69" s="343"/>
      <c r="L69" s="343"/>
      <c r="M69" s="343"/>
      <c r="AA69" s="343"/>
    </row>
    <row r="70" spans="6:27" ht="20.100000000000001" customHeight="1">
      <c r="F70" s="343"/>
      <c r="G70" s="343"/>
      <c r="H70" s="343"/>
      <c r="I70" s="343"/>
      <c r="J70" s="343"/>
      <c r="K70" s="343"/>
      <c r="L70" s="343"/>
      <c r="M70" s="343"/>
      <c r="AA70" s="343"/>
    </row>
    <row r="71" spans="6:27" ht="20.100000000000001" customHeight="1">
      <c r="F71" s="343"/>
      <c r="G71" s="343"/>
      <c r="H71" s="343"/>
      <c r="I71" s="343"/>
      <c r="J71" s="343"/>
      <c r="K71" s="343"/>
      <c r="L71" s="343"/>
      <c r="M71" s="343"/>
      <c r="AA71" s="343"/>
    </row>
    <row r="72" spans="6:27" ht="20.100000000000001" customHeight="1">
      <c r="F72" s="343"/>
      <c r="G72" s="343"/>
      <c r="H72" s="343"/>
      <c r="I72" s="343"/>
      <c r="J72" s="343"/>
      <c r="K72" s="343"/>
      <c r="L72" s="343"/>
      <c r="M72" s="343"/>
      <c r="AA72" s="343"/>
    </row>
    <row r="73" spans="6:27" ht="20.100000000000001" customHeight="1">
      <c r="F73" s="343"/>
      <c r="G73" s="343"/>
      <c r="H73" s="343"/>
      <c r="I73" s="343"/>
      <c r="J73" s="343"/>
      <c r="K73" s="343"/>
      <c r="L73" s="343"/>
      <c r="M73" s="343"/>
      <c r="AA73" s="343"/>
    </row>
    <row r="74" spans="6:27" ht="20.100000000000001" customHeight="1">
      <c r="F74" s="343"/>
      <c r="G74" s="343"/>
      <c r="H74" s="343"/>
      <c r="I74" s="343"/>
      <c r="J74" s="343"/>
      <c r="K74" s="343"/>
      <c r="L74" s="343"/>
      <c r="M74" s="343"/>
      <c r="AA74" s="343"/>
    </row>
    <row r="75" spans="6:27" ht="20.100000000000001" customHeight="1">
      <c r="F75" s="343"/>
      <c r="G75" s="343"/>
      <c r="H75" s="343"/>
      <c r="I75" s="343"/>
      <c r="J75" s="343"/>
      <c r="K75" s="343"/>
      <c r="L75" s="343"/>
      <c r="M75" s="343"/>
      <c r="AA75" s="343"/>
    </row>
    <row r="76" spans="6:27" ht="20.100000000000001" customHeight="1">
      <c r="F76" s="343"/>
      <c r="G76" s="343"/>
      <c r="H76" s="343"/>
      <c r="I76" s="343"/>
      <c r="J76" s="343"/>
      <c r="K76" s="343"/>
      <c r="L76" s="343"/>
      <c r="M76" s="343"/>
      <c r="N76" s="669"/>
      <c r="AA76" s="343"/>
    </row>
    <row r="77" spans="6:27" ht="20.100000000000001" customHeight="1">
      <c r="F77" s="343"/>
      <c r="G77" s="343"/>
      <c r="H77" s="343"/>
      <c r="I77" s="343"/>
      <c r="J77" s="343"/>
      <c r="K77" s="343"/>
      <c r="L77" s="343"/>
      <c r="M77" s="343"/>
      <c r="N77" s="669"/>
      <c r="AA77" s="343"/>
    </row>
    <row r="78" spans="6:27" ht="20.100000000000001" customHeight="1">
      <c r="F78" s="343"/>
      <c r="G78" s="343"/>
      <c r="H78" s="343"/>
      <c r="I78" s="343"/>
      <c r="J78" s="343"/>
      <c r="K78" s="343"/>
      <c r="L78" s="343"/>
      <c r="M78" s="343"/>
      <c r="N78" s="669"/>
      <c r="AA78" s="343"/>
    </row>
    <row r="79" spans="6:27" ht="20.100000000000001" customHeight="1">
      <c r="F79" s="343"/>
      <c r="G79" s="343"/>
      <c r="H79" s="343"/>
      <c r="I79" s="343"/>
      <c r="J79" s="343"/>
      <c r="K79" s="343"/>
      <c r="L79" s="343"/>
      <c r="M79" s="343"/>
      <c r="N79" s="669"/>
      <c r="AA79" s="343"/>
    </row>
    <row r="80" spans="6:27" ht="20.100000000000001" customHeight="1">
      <c r="F80" s="343"/>
      <c r="G80" s="343"/>
      <c r="H80" s="343"/>
      <c r="I80" s="343"/>
      <c r="J80" s="343"/>
      <c r="K80" s="343"/>
      <c r="L80" s="343"/>
      <c r="M80" s="343"/>
      <c r="N80" s="669"/>
      <c r="AA80" s="343"/>
    </row>
    <row r="81" spans="6:27" ht="20.100000000000001" customHeight="1">
      <c r="F81" s="343"/>
      <c r="G81" s="343"/>
      <c r="H81" s="343"/>
      <c r="I81" s="343"/>
      <c r="J81" s="343"/>
      <c r="K81" s="343"/>
      <c r="L81" s="343"/>
      <c r="M81" s="343"/>
      <c r="N81" s="669"/>
      <c r="AA81" s="343"/>
    </row>
    <row r="82" spans="6:27" ht="20.100000000000001" customHeight="1">
      <c r="F82" s="343"/>
      <c r="G82" s="343"/>
      <c r="H82" s="343"/>
      <c r="I82" s="343"/>
      <c r="J82" s="343"/>
      <c r="K82" s="343"/>
      <c r="L82" s="343"/>
      <c r="M82" s="343"/>
      <c r="AA82" s="343"/>
    </row>
    <row r="83" spans="6:27" ht="20.100000000000001" customHeight="1">
      <c r="F83" s="343"/>
      <c r="G83" s="343"/>
      <c r="H83" s="343"/>
      <c r="I83" s="343"/>
      <c r="J83" s="343"/>
      <c r="K83" s="343"/>
      <c r="L83" s="343"/>
      <c r="M83" s="343"/>
      <c r="AA83" s="343"/>
    </row>
    <row r="84" spans="6:27" ht="20.100000000000001" customHeight="1">
      <c r="F84" s="343"/>
      <c r="G84" s="343"/>
      <c r="H84" s="343"/>
      <c r="I84" s="343"/>
      <c r="J84" s="343"/>
      <c r="K84" s="343"/>
      <c r="L84" s="343"/>
      <c r="M84" s="343"/>
      <c r="AA84" s="343"/>
    </row>
    <row r="85" spans="6:27" ht="20.100000000000001" customHeight="1">
      <c r="F85" s="343"/>
      <c r="G85" s="343"/>
      <c r="H85" s="343"/>
      <c r="I85" s="343"/>
      <c r="J85" s="343"/>
      <c r="K85" s="343"/>
      <c r="L85" s="343"/>
      <c r="M85" s="343"/>
      <c r="AA85" s="343"/>
    </row>
    <row r="86" spans="6:27" ht="20.100000000000001" customHeight="1">
      <c r="F86" s="343"/>
      <c r="G86" s="343"/>
      <c r="H86" s="343"/>
      <c r="I86" s="343"/>
      <c r="J86" s="343"/>
      <c r="K86" s="343"/>
      <c r="L86" s="343"/>
      <c r="M86" s="343"/>
      <c r="AA86" s="343"/>
    </row>
    <row r="87" spans="6:27" ht="20.100000000000001" customHeight="1">
      <c r="F87" s="343"/>
      <c r="G87" s="343"/>
      <c r="H87" s="343"/>
      <c r="I87" s="343"/>
      <c r="J87" s="343"/>
      <c r="K87" s="343"/>
      <c r="L87" s="343"/>
      <c r="M87" s="343"/>
      <c r="AA87" s="343"/>
    </row>
    <row r="88" spans="6:27" ht="20.100000000000001" customHeight="1">
      <c r="F88" s="343"/>
      <c r="G88" s="343"/>
      <c r="H88" s="343"/>
      <c r="I88" s="343"/>
      <c r="J88" s="343"/>
      <c r="K88" s="343"/>
      <c r="L88" s="343"/>
      <c r="M88" s="343"/>
      <c r="AA88" s="343"/>
    </row>
    <row r="89" spans="6:27" ht="20.100000000000001" customHeight="1">
      <c r="F89" s="343"/>
      <c r="G89" s="343"/>
      <c r="H89" s="343"/>
      <c r="I89" s="343"/>
      <c r="J89" s="343"/>
      <c r="K89" s="343"/>
      <c r="L89" s="343"/>
      <c r="M89" s="343"/>
      <c r="AA89" s="343"/>
    </row>
    <row r="90" spans="6:27" ht="20.100000000000001" customHeight="1">
      <c r="F90" s="343"/>
      <c r="G90" s="343"/>
      <c r="H90" s="343"/>
      <c r="I90" s="343"/>
      <c r="J90" s="343"/>
      <c r="K90" s="343"/>
      <c r="L90" s="343"/>
      <c r="M90" s="343"/>
      <c r="AA90" s="343"/>
    </row>
    <row r="91" spans="6:27" ht="20.100000000000001" customHeight="1">
      <c r="F91" s="343"/>
      <c r="G91" s="343"/>
      <c r="H91" s="343"/>
      <c r="I91" s="343"/>
      <c r="J91" s="343"/>
      <c r="K91" s="343"/>
      <c r="L91" s="343"/>
      <c r="M91" s="343"/>
      <c r="AA91" s="343"/>
    </row>
    <row r="92" spans="6:27" ht="20.100000000000001" customHeight="1">
      <c r="F92" s="343"/>
      <c r="G92" s="343"/>
      <c r="H92" s="343"/>
      <c r="I92" s="343"/>
      <c r="J92" s="343"/>
      <c r="K92" s="343"/>
      <c r="L92" s="343"/>
      <c r="M92" s="343"/>
    </row>
    <row r="93" spans="6:27" ht="20.100000000000001" customHeight="1">
      <c r="F93" s="343"/>
      <c r="G93" s="343"/>
      <c r="H93" s="343"/>
      <c r="I93" s="343"/>
      <c r="J93" s="343"/>
      <c r="K93" s="343"/>
      <c r="L93" s="343"/>
      <c r="M93" s="343"/>
    </row>
    <row r="94" spans="6:27" ht="20.100000000000001" customHeight="1">
      <c r="F94" s="343"/>
      <c r="G94" s="343"/>
      <c r="H94" s="343"/>
      <c r="I94" s="343"/>
      <c r="J94" s="343"/>
      <c r="K94" s="343"/>
      <c r="L94" s="343"/>
      <c r="M94" s="343"/>
    </row>
    <row r="95" spans="6:27" ht="20.100000000000001" customHeight="1">
      <c r="F95" s="343"/>
      <c r="G95" s="343"/>
      <c r="H95" s="343"/>
      <c r="I95" s="343"/>
      <c r="J95" s="343"/>
      <c r="K95" s="343"/>
      <c r="L95" s="343"/>
      <c r="M95" s="343"/>
    </row>
    <row r="96" spans="6:27" ht="20.100000000000001" customHeight="1">
      <c r="F96" s="343"/>
      <c r="G96" s="343"/>
      <c r="H96" s="343"/>
      <c r="I96" s="343"/>
      <c r="J96" s="343"/>
      <c r="K96" s="343"/>
      <c r="L96" s="343"/>
      <c r="M96" s="343"/>
    </row>
    <row r="97" spans="6:13" ht="20.100000000000001" customHeight="1">
      <c r="F97" s="343"/>
      <c r="G97" s="343"/>
      <c r="H97" s="343"/>
      <c r="I97" s="343"/>
      <c r="J97" s="343"/>
      <c r="K97" s="343"/>
      <c r="L97" s="343"/>
      <c r="M97" s="343"/>
    </row>
    <row r="98" spans="6:13" ht="20.100000000000001" customHeight="1">
      <c r="F98" s="343"/>
      <c r="G98" s="343"/>
      <c r="H98" s="343"/>
      <c r="I98" s="343"/>
      <c r="J98" s="343"/>
      <c r="K98" s="343"/>
      <c r="L98" s="343"/>
      <c r="M98" s="343"/>
    </row>
    <row r="99" spans="6:13" ht="20.100000000000001" customHeight="1">
      <c r="F99" s="343" t="s">
        <v>1191</v>
      </c>
      <c r="G99" s="343"/>
      <c r="H99" s="343"/>
      <c r="I99" s="343"/>
      <c r="J99" s="343"/>
      <c r="K99" s="343"/>
      <c r="L99" s="343"/>
    </row>
    <row r="100" spans="6:13" ht="20.100000000000001" customHeight="1">
      <c r="F100" s="343"/>
      <c r="G100" s="343"/>
      <c r="H100" s="343"/>
      <c r="I100" s="343"/>
      <c r="K100" s="343"/>
      <c r="L100" s="343"/>
    </row>
    <row r="101" spans="6:13" ht="20.100000000000001" customHeight="1">
      <c r="F101" s="343"/>
      <c r="G101" s="343"/>
      <c r="H101" s="343"/>
      <c r="I101" s="343"/>
      <c r="K101" s="343"/>
      <c r="L101" s="343"/>
    </row>
    <row r="102" spans="6:13" ht="20.100000000000001" customHeight="1">
      <c r="F102" s="343"/>
      <c r="G102" s="343"/>
      <c r="H102" s="343"/>
      <c r="I102" s="343"/>
      <c r="K102" s="343"/>
      <c r="L102" s="343"/>
    </row>
    <row r="103" spans="6:13" ht="20.100000000000001" customHeight="1">
      <c r="G103" s="343"/>
      <c r="H103" s="343"/>
      <c r="I103" s="343"/>
      <c r="K103" s="343"/>
      <c r="L103" s="343"/>
    </row>
    <row r="104" spans="6:13" ht="20.100000000000001" customHeight="1">
      <c r="G104" s="343"/>
      <c r="H104" s="343"/>
      <c r="I104" s="343"/>
    </row>
    <row r="105" spans="6:13" ht="20.100000000000001" customHeight="1">
      <c r="G105" s="343"/>
      <c r="H105" s="343"/>
      <c r="I105" s="343"/>
    </row>
  </sheetData>
  <sheetProtection password="828E" sheet="1" objects="1" scenarios="1"/>
  <mergeCells count="38">
    <mergeCell ref="B39:B43"/>
    <mergeCell ref="C39:D43"/>
    <mergeCell ref="A31:A34"/>
    <mergeCell ref="A35:A38"/>
    <mergeCell ref="A39:A43"/>
    <mergeCell ref="I15:I16"/>
    <mergeCell ref="A12:D23"/>
    <mergeCell ref="B31:B34"/>
    <mergeCell ref="C31:D34"/>
    <mergeCell ref="B35:B38"/>
    <mergeCell ref="C35:D38"/>
    <mergeCell ref="C25:D25"/>
    <mergeCell ref="A26:A30"/>
    <mergeCell ref="B26:B30"/>
    <mergeCell ref="C26:D30"/>
    <mergeCell ref="G3:G4"/>
    <mergeCell ref="H3:H4"/>
    <mergeCell ref="I3:I4"/>
    <mergeCell ref="F3:F5"/>
    <mergeCell ref="G6:G7"/>
    <mergeCell ref="H6:H7"/>
    <mergeCell ref="I6:I7"/>
    <mergeCell ref="J15:J16"/>
    <mergeCell ref="A1:D1"/>
    <mergeCell ref="F6:F8"/>
    <mergeCell ref="A53:D56"/>
    <mergeCell ref="F15:F17"/>
    <mergeCell ref="G15:G16"/>
    <mergeCell ref="H15:H16"/>
    <mergeCell ref="F2:J2"/>
    <mergeCell ref="A5:A6"/>
    <mergeCell ref="A7:A8"/>
    <mergeCell ref="A9:A10"/>
    <mergeCell ref="F12:F14"/>
    <mergeCell ref="G12:G13"/>
    <mergeCell ref="H12:H13"/>
    <mergeCell ref="J12:J13"/>
    <mergeCell ref="I12:I13"/>
  </mergeCells>
  <phoneticPr fontId="4" type="noConversion"/>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sheetPr codeName="Sheet25"/>
  <dimension ref="A1:AE66"/>
  <sheetViews>
    <sheetView workbookViewId="0">
      <selection activeCell="C16" sqref="C16"/>
    </sheetView>
  </sheetViews>
  <sheetFormatPr defaultColWidth="15.625" defaultRowHeight="20.100000000000001" customHeight="1"/>
  <cols>
    <col min="1" max="1" width="13.375" style="262" customWidth="1"/>
    <col min="2" max="2" width="20" style="262" customWidth="1"/>
    <col min="3" max="3" width="13.875" style="263" customWidth="1"/>
    <col min="4" max="4" width="17.5" style="262" customWidth="1"/>
    <col min="5" max="5" width="5" style="262" customWidth="1"/>
    <col min="6" max="6" width="14.375" style="262" customWidth="1"/>
    <col min="7" max="7" width="12" style="262" customWidth="1"/>
    <col min="8" max="10" width="10.625" style="262" customWidth="1"/>
    <col min="11" max="11" width="8.875" style="262" customWidth="1"/>
    <col min="12" max="12" width="7.62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ht="21.95" customHeight="1">
      <c r="A1" s="775" t="s">
        <v>1609</v>
      </c>
      <c r="B1" s="776"/>
      <c r="C1" s="776"/>
      <c r="D1" s="776"/>
      <c r="F1" s="399"/>
      <c r="G1" s="343"/>
      <c r="H1" s="343"/>
    </row>
    <row r="2" spans="1:31" ht="20.100000000000001" customHeight="1">
      <c r="A2" s="333" t="s">
        <v>1559</v>
      </c>
      <c r="F2" s="399" t="s">
        <v>1520</v>
      </c>
      <c r="G2" s="343"/>
      <c r="H2" s="343"/>
      <c r="I2" s="343"/>
      <c r="R2" s="344"/>
      <c r="S2" s="344"/>
      <c r="T2" s="344"/>
      <c r="V2" s="342"/>
      <c r="W2" s="342"/>
      <c r="X2" s="342"/>
      <c r="Y2" s="342"/>
      <c r="Z2" s="342"/>
      <c r="AA2" s="342"/>
      <c r="AB2" s="342"/>
      <c r="AC2" s="342"/>
      <c r="AD2" s="342"/>
    </row>
    <row r="3" spans="1:31" ht="20.100000000000001" customHeight="1">
      <c r="A3" s="266" t="s">
        <v>753</v>
      </c>
      <c r="B3" s="266" t="s">
        <v>754</v>
      </c>
      <c r="C3" s="267" t="s">
        <v>755</v>
      </c>
      <c r="D3" s="266" t="s">
        <v>762</v>
      </c>
      <c r="F3" s="345" t="s">
        <v>1521</v>
      </c>
      <c r="G3" s="266" t="s">
        <v>1526</v>
      </c>
      <c r="H3" s="266" t="s">
        <v>1522</v>
      </c>
      <c r="I3" s="343"/>
      <c r="T3" s="344"/>
      <c r="V3" s="342"/>
      <c r="W3" s="342"/>
      <c r="X3" s="342"/>
      <c r="Y3" s="342"/>
      <c r="Z3" s="342"/>
      <c r="AA3" s="342"/>
      <c r="AB3" s="342"/>
      <c r="AC3" s="342"/>
      <c r="AD3" s="342"/>
    </row>
    <row r="4" spans="1:31" ht="20.100000000000001" customHeight="1">
      <c r="A4" s="1084" t="s">
        <v>756</v>
      </c>
      <c r="B4" s="345" t="s">
        <v>1546</v>
      </c>
      <c r="C4" s="369" t="s">
        <v>1547</v>
      </c>
      <c r="D4" s="266"/>
      <c r="F4" s="345" t="s">
        <v>1523</v>
      </c>
      <c r="G4" s="346" t="s">
        <v>1527</v>
      </c>
      <c r="H4" s="346" t="s">
        <v>1530</v>
      </c>
      <c r="I4" s="343"/>
      <c r="T4" s="344"/>
      <c r="W4" s="343"/>
      <c r="X4" s="343"/>
      <c r="Y4" s="343"/>
      <c r="Z4" s="343"/>
      <c r="AA4" s="343"/>
      <c r="AB4" s="343"/>
      <c r="AC4" s="343"/>
      <c r="AD4" s="343"/>
    </row>
    <row r="5" spans="1:31" ht="20.100000000000001" customHeight="1">
      <c r="A5" s="1084"/>
      <c r="B5" s="266" t="s">
        <v>1456</v>
      </c>
      <c r="C5" s="326">
        <v>2</v>
      </c>
      <c r="D5" s="266" t="str">
        <f>C5*9.8&amp;"N"</f>
        <v>19.6N</v>
      </c>
      <c r="F5" s="345" t="s">
        <v>1524</v>
      </c>
      <c r="G5" s="346" t="s">
        <v>1528</v>
      </c>
      <c r="H5" s="346" t="s">
        <v>1531</v>
      </c>
      <c r="I5" s="343"/>
      <c r="T5" s="344"/>
      <c r="W5" s="344"/>
      <c r="X5" s="344"/>
      <c r="Y5" s="344"/>
      <c r="Z5" s="344"/>
      <c r="AA5" s="344"/>
      <c r="AB5" s="344"/>
      <c r="AC5" s="344"/>
      <c r="AD5" s="344"/>
      <c r="AE5" s="343"/>
    </row>
    <row r="6" spans="1:31" ht="20.100000000000001" customHeight="1">
      <c r="A6" s="1084"/>
      <c r="B6" s="266" t="s">
        <v>1558</v>
      </c>
      <c r="C6" s="326">
        <v>2</v>
      </c>
      <c r="D6" s="345"/>
      <c r="F6" s="345" t="s">
        <v>1525</v>
      </c>
      <c r="G6" s="347" t="s">
        <v>1529</v>
      </c>
      <c r="H6" s="347" t="s">
        <v>1532</v>
      </c>
      <c r="I6" s="343"/>
      <c r="T6" s="344"/>
      <c r="W6" s="344"/>
      <c r="X6" s="344"/>
      <c r="Y6" s="344"/>
      <c r="Z6" s="344"/>
      <c r="AE6" s="344"/>
    </row>
    <row r="7" spans="1:31" ht="20.100000000000001" customHeight="1">
      <c r="A7" s="1084"/>
      <c r="B7" s="266" t="s">
        <v>1515</v>
      </c>
      <c r="C7" s="326">
        <v>175</v>
      </c>
      <c r="D7" s="345" t="s">
        <v>1608</v>
      </c>
      <c r="F7" s="343"/>
      <c r="G7" s="343"/>
      <c r="H7" s="343"/>
      <c r="I7" s="343"/>
      <c r="U7" s="344"/>
      <c r="V7" s="344"/>
      <c r="W7" s="344"/>
      <c r="X7" s="344"/>
      <c r="Y7" s="344"/>
      <c r="Z7" s="344"/>
      <c r="AA7" s="344"/>
      <c r="AB7" s="344"/>
      <c r="AC7" s="344"/>
    </row>
    <row r="8" spans="1:31" ht="20.100000000000001" customHeight="1">
      <c r="A8" s="1084"/>
      <c r="B8" s="266" t="s">
        <v>1516</v>
      </c>
      <c r="C8" s="326">
        <v>20</v>
      </c>
      <c r="D8" s="266"/>
      <c r="F8" s="333" t="s">
        <v>1539</v>
      </c>
      <c r="G8" s="343"/>
      <c r="H8" s="343"/>
      <c r="I8" s="343"/>
      <c r="J8" s="343"/>
      <c r="K8" s="343"/>
      <c r="L8" s="343"/>
      <c r="M8" s="343"/>
      <c r="V8" s="344"/>
      <c r="W8" s="344"/>
      <c r="X8" s="344"/>
      <c r="Y8" s="344"/>
      <c r="Z8" s="344"/>
      <c r="AA8" s="344"/>
      <c r="AB8" s="344"/>
      <c r="AC8" s="344"/>
      <c r="AD8" s="344"/>
    </row>
    <row r="9" spans="1:31" ht="20.100000000000001" customHeight="1">
      <c r="A9" s="1084"/>
      <c r="B9" s="266" t="s">
        <v>1560</v>
      </c>
      <c r="C9" s="326">
        <f>2*10*360*5</f>
        <v>36000</v>
      </c>
      <c r="D9" s="266" t="s">
        <v>1517</v>
      </c>
      <c r="F9" s="439" t="s">
        <v>1543</v>
      </c>
      <c r="G9" s="267" t="s">
        <v>1540</v>
      </c>
      <c r="H9" s="343"/>
      <c r="I9" s="343"/>
      <c r="J9" s="343"/>
      <c r="K9" s="343"/>
      <c r="L9" s="343"/>
      <c r="M9" s="343"/>
      <c r="U9" s="344"/>
      <c r="V9" s="344"/>
      <c r="W9" s="344"/>
    </row>
    <row r="10" spans="1:31" ht="20.100000000000001" customHeight="1">
      <c r="A10" s="1073" t="s">
        <v>1553</v>
      </c>
      <c r="B10" s="266" t="s">
        <v>1519</v>
      </c>
      <c r="C10" s="267">
        <f>C8*2*C7/1000</f>
        <v>7</v>
      </c>
      <c r="D10" s="266"/>
      <c r="F10" s="267">
        <v>1</v>
      </c>
      <c r="G10" s="346">
        <v>1</v>
      </c>
      <c r="H10" s="343"/>
      <c r="I10" s="343"/>
      <c r="J10" s="343"/>
      <c r="K10" s="343"/>
      <c r="L10" s="343"/>
      <c r="M10" s="343"/>
      <c r="O10" s="343"/>
    </row>
    <row r="11" spans="1:31" ht="20.100000000000001" customHeight="1">
      <c r="A11" s="1073"/>
      <c r="B11" s="266" t="s">
        <v>1533</v>
      </c>
      <c r="C11" s="326">
        <v>1.2</v>
      </c>
      <c r="D11" s="266" t="s">
        <v>1174</v>
      </c>
      <c r="F11" s="267">
        <v>2</v>
      </c>
      <c r="G11" s="346">
        <v>0.81</v>
      </c>
      <c r="H11" s="343"/>
      <c r="I11" s="343"/>
      <c r="J11" s="343"/>
      <c r="K11" s="343"/>
      <c r="L11" s="343"/>
      <c r="M11" s="343"/>
    </row>
    <row r="12" spans="1:31" ht="20.100000000000001" customHeight="1">
      <c r="A12" s="1073"/>
      <c r="B12" s="266" t="s">
        <v>1534</v>
      </c>
      <c r="C12" s="326">
        <v>57</v>
      </c>
      <c r="D12" s="266" t="s">
        <v>1535</v>
      </c>
      <c r="F12" s="267">
        <v>3</v>
      </c>
      <c r="G12" s="346">
        <v>0.72</v>
      </c>
      <c r="H12" s="343"/>
      <c r="I12" s="343"/>
      <c r="J12" s="343"/>
      <c r="K12" s="343"/>
      <c r="L12" s="343"/>
      <c r="M12" s="343"/>
      <c r="AA12" s="343"/>
    </row>
    <row r="13" spans="1:31" ht="20.100000000000001" customHeight="1">
      <c r="A13" s="1073"/>
      <c r="B13" s="266" t="s">
        <v>1536</v>
      </c>
      <c r="C13" s="287">
        <f>IF(C12&lt;57, -0.000000029056202*C12^6 + 0.000007475998062*C12^5 - 0.000793552083205*C12^4 + 0.044508155269588*C12^3 - 1.39104856058973*C12^2 + 22.9720175059869*C12 - 156.474607500798,1)</f>
        <v>1</v>
      </c>
      <c r="D13" s="266"/>
      <c r="F13" s="267">
        <v>4</v>
      </c>
      <c r="G13" s="347">
        <v>0.66</v>
      </c>
      <c r="H13" s="343"/>
      <c r="I13" s="343"/>
      <c r="J13" s="343"/>
      <c r="K13" s="343"/>
      <c r="L13" s="343"/>
      <c r="M13" s="343"/>
      <c r="AA13" s="343"/>
    </row>
    <row r="14" spans="1:31" ht="20.100000000000001" customHeight="1">
      <c r="A14" s="1073"/>
      <c r="B14" s="266" t="s">
        <v>1542</v>
      </c>
      <c r="C14" s="331">
        <v>100</v>
      </c>
      <c r="D14" s="266" t="s">
        <v>1561</v>
      </c>
      <c r="F14" s="267">
        <v>5</v>
      </c>
      <c r="G14" s="347">
        <v>0.61</v>
      </c>
      <c r="H14" s="343"/>
      <c r="I14" s="343"/>
      <c r="J14" s="343"/>
      <c r="K14" s="343"/>
      <c r="L14" s="343"/>
      <c r="M14" s="343"/>
      <c r="AA14" s="343"/>
    </row>
    <row r="15" spans="1:31" ht="20.100000000000001" customHeight="1">
      <c r="A15" s="1073"/>
      <c r="B15" s="266" t="s">
        <v>1537</v>
      </c>
      <c r="C15" s="287">
        <f xml:space="preserve"> IF(C14&gt;100,-0.000015869130869 *C14^2 + 0.002670689310689 *C14 + 0.887959740259746,1)</f>
        <v>1</v>
      </c>
      <c r="D15" s="266"/>
      <c r="F15" s="267" t="s">
        <v>1541</v>
      </c>
      <c r="G15" s="347">
        <v>0.6</v>
      </c>
      <c r="H15" s="343"/>
      <c r="I15" s="343"/>
      <c r="J15" s="343"/>
      <c r="K15" s="343"/>
      <c r="L15" s="343"/>
      <c r="M15" s="343"/>
      <c r="AA15" s="343"/>
    </row>
    <row r="16" spans="1:31" ht="20.100000000000001" customHeight="1">
      <c r="A16" s="1073"/>
      <c r="B16" s="345" t="s">
        <v>1544</v>
      </c>
      <c r="C16" s="326">
        <v>1</v>
      </c>
      <c r="D16" s="266"/>
      <c r="F16" s="343"/>
      <c r="G16" s="343"/>
      <c r="H16" s="343"/>
      <c r="I16" s="343"/>
      <c r="J16" s="343"/>
      <c r="K16" s="343"/>
      <c r="L16" s="343"/>
      <c r="M16" s="343"/>
      <c r="AA16" s="343"/>
    </row>
    <row r="17" spans="1:29" ht="20.100000000000001" customHeight="1">
      <c r="A17" s="1073"/>
      <c r="B17" s="266" t="s">
        <v>1538</v>
      </c>
      <c r="C17" s="267">
        <f>IF(C16=1,1,IF(C16=2,0.81,IF(C16=3,0.72,IF(C16=4,0.66,IF(C16=5,0.61,IF(OR(C16=6,C16&gt;6),0.6,请填轴承数))))))</f>
        <v>1</v>
      </c>
      <c r="D17" s="266" t="s">
        <v>1545</v>
      </c>
      <c r="F17" s="343"/>
      <c r="G17" s="343"/>
      <c r="H17" s="343"/>
      <c r="I17" s="343"/>
      <c r="J17" s="343"/>
      <c r="K17" s="343"/>
      <c r="L17" s="343"/>
      <c r="M17" s="343"/>
      <c r="AA17" s="343"/>
    </row>
    <row r="18" spans="1:29" ht="20.100000000000001" customHeight="1">
      <c r="A18" s="1073"/>
      <c r="B18" s="266" t="s">
        <v>1518</v>
      </c>
      <c r="C18" s="379">
        <f>1.2*C5*9.8/C6</f>
        <v>11.76</v>
      </c>
      <c r="D18" s="440" t="s">
        <v>1549</v>
      </c>
      <c r="F18" s="343"/>
      <c r="G18" s="343"/>
      <c r="H18" s="343"/>
      <c r="I18" s="343"/>
      <c r="J18" s="343"/>
      <c r="K18" s="343"/>
      <c r="L18" s="343"/>
      <c r="M18" s="343"/>
      <c r="AC18" s="343"/>
    </row>
    <row r="19" spans="1:29" ht="20.100000000000001" customHeight="1">
      <c r="A19" s="1073"/>
      <c r="B19" s="266" t="s">
        <v>1563</v>
      </c>
      <c r="C19" s="379">
        <f>C9*60*C8*2*C7/10^6</f>
        <v>15120</v>
      </c>
      <c r="D19" s="440" t="s">
        <v>1557</v>
      </c>
      <c r="F19" s="343"/>
      <c r="G19" s="343"/>
      <c r="H19" s="343"/>
      <c r="I19" s="343"/>
      <c r="J19" s="343"/>
      <c r="K19" s="343"/>
      <c r="L19" s="343"/>
      <c r="M19" s="343"/>
      <c r="AC19" s="343"/>
    </row>
    <row r="20" spans="1:29" ht="20.100000000000001" customHeight="1">
      <c r="A20" s="1073"/>
      <c r="B20" s="266" t="s">
        <v>1548</v>
      </c>
      <c r="C20" s="284">
        <f>IF(C4="滚珠",C18*C11/(C15*C13*C17)*(C19/50)^(1/3),IF(C4="滚柱",C18*C11/(C15*C13*C17)*(C19/100)^(3/10),"请选择滚动体类型"))</f>
        <v>94.721630103916027</v>
      </c>
      <c r="D20" s="1090" t="s">
        <v>1552</v>
      </c>
      <c r="F20" s="343"/>
      <c r="G20" s="343"/>
      <c r="H20" s="343"/>
      <c r="I20" s="343"/>
      <c r="J20" s="343"/>
      <c r="K20" s="343"/>
      <c r="L20" s="343"/>
      <c r="M20" s="343"/>
      <c r="AC20" s="343"/>
    </row>
    <row r="21" spans="1:29" ht="20.100000000000001" customHeight="1">
      <c r="A21" s="1073"/>
      <c r="B21" s="345" t="s">
        <v>1550</v>
      </c>
      <c r="C21" s="432"/>
      <c r="D21" s="1015"/>
      <c r="F21" s="343"/>
      <c r="G21" s="343"/>
      <c r="H21" s="343"/>
      <c r="I21" s="343"/>
      <c r="J21" s="343"/>
      <c r="K21" s="343"/>
      <c r="L21" s="343"/>
      <c r="M21" s="343"/>
      <c r="AC21" s="343"/>
    </row>
    <row r="22" spans="1:29" ht="20.100000000000001" customHeight="1">
      <c r="F22" s="343"/>
      <c r="G22" s="343"/>
      <c r="H22" s="343"/>
      <c r="I22" s="343"/>
      <c r="J22" s="343"/>
      <c r="K22" s="343"/>
      <c r="L22" s="343"/>
      <c r="M22" s="343"/>
      <c r="AC22" s="343"/>
    </row>
    <row r="23" spans="1:29" ht="20.100000000000001" customHeight="1">
      <c r="A23" s="1293" t="s">
        <v>1556</v>
      </c>
      <c r="B23" s="1279"/>
      <c r="C23" s="1279"/>
      <c r="D23" s="1294"/>
      <c r="F23" s="343"/>
      <c r="G23" s="343"/>
      <c r="H23" s="343"/>
      <c r="I23" s="343"/>
      <c r="J23" s="343"/>
      <c r="K23" s="343"/>
      <c r="L23" s="343"/>
      <c r="M23" s="343"/>
      <c r="AC23" s="343"/>
    </row>
    <row r="24" spans="1:29" ht="20.100000000000001" customHeight="1">
      <c r="A24" s="1295"/>
      <c r="B24" s="1280"/>
      <c r="C24" s="1280"/>
      <c r="D24" s="1296"/>
      <c r="F24" s="343"/>
      <c r="G24" s="343"/>
      <c r="H24" s="343"/>
      <c r="I24" s="343"/>
      <c r="J24" s="343"/>
      <c r="K24" s="343"/>
      <c r="L24" s="343"/>
      <c r="M24" s="343"/>
      <c r="AC24" s="343"/>
    </row>
    <row r="25" spans="1:29" ht="20.100000000000001" customHeight="1">
      <c r="A25" s="1295"/>
      <c r="B25" s="1280"/>
      <c r="C25" s="1280"/>
      <c r="D25" s="1296"/>
      <c r="F25" s="343"/>
      <c r="G25" s="343"/>
      <c r="H25" s="343"/>
      <c r="J25" s="343"/>
      <c r="K25" s="343"/>
      <c r="L25" s="343"/>
      <c r="M25" s="343"/>
      <c r="AB25" s="343"/>
    </row>
    <row r="26" spans="1:29" ht="20.100000000000001" customHeight="1">
      <c r="A26" s="1295"/>
      <c r="B26" s="1280"/>
      <c r="C26" s="1280"/>
      <c r="D26" s="1296"/>
      <c r="F26" s="343"/>
      <c r="G26" s="343"/>
      <c r="H26" s="343"/>
      <c r="J26" s="343"/>
      <c r="K26" s="343"/>
      <c r="L26" s="343"/>
      <c r="M26" s="343"/>
      <c r="AB26" s="343"/>
    </row>
    <row r="27" spans="1:29" ht="20.100000000000001" customHeight="1">
      <c r="A27" s="1295"/>
      <c r="B27" s="1280"/>
      <c r="C27" s="1280"/>
      <c r="D27" s="1296"/>
      <c r="F27" s="343"/>
      <c r="G27" s="343"/>
      <c r="H27" s="343"/>
      <c r="J27" s="343"/>
      <c r="K27" s="343"/>
      <c r="L27" s="343"/>
      <c r="M27" s="343"/>
      <c r="AB27" s="343"/>
    </row>
    <row r="28" spans="1:29" ht="20.100000000000001" customHeight="1">
      <c r="A28" s="1295"/>
      <c r="B28" s="1280"/>
      <c r="C28" s="1280"/>
      <c r="D28" s="1296"/>
      <c r="F28" s="343"/>
      <c r="G28" s="343"/>
      <c r="H28" s="343"/>
      <c r="I28" s="343"/>
      <c r="J28" s="343"/>
      <c r="K28" s="343"/>
      <c r="L28" s="343"/>
      <c r="M28" s="343"/>
      <c r="AB28" s="343"/>
    </row>
    <row r="29" spans="1:29" ht="20.100000000000001" customHeight="1">
      <c r="A29" s="1282" t="s">
        <v>1551</v>
      </c>
      <c r="B29" s="1283"/>
      <c r="C29" s="1283"/>
      <c r="D29" s="1284"/>
      <c r="F29" s="343"/>
      <c r="G29" s="343"/>
      <c r="H29" s="343"/>
      <c r="I29" s="343"/>
      <c r="J29" s="343"/>
      <c r="K29" s="343"/>
      <c r="L29" s="343"/>
      <c r="M29" s="343"/>
      <c r="AB29" s="343"/>
    </row>
    <row r="30" spans="1:29" ht="20.100000000000001" customHeight="1">
      <c r="A30" s="1285"/>
      <c r="B30" s="1272"/>
      <c r="C30" s="1272"/>
      <c r="D30" s="1286"/>
      <c r="F30" s="343"/>
      <c r="G30" s="343"/>
      <c r="H30" s="343"/>
      <c r="I30" s="343"/>
      <c r="J30" s="343"/>
      <c r="K30" s="343"/>
      <c r="L30" s="343"/>
      <c r="M30" s="343"/>
      <c r="AB30" s="343"/>
    </row>
    <row r="31" spans="1:29" ht="20.100000000000001" customHeight="1">
      <c r="A31" s="1285"/>
      <c r="B31" s="1272"/>
      <c r="C31" s="1272"/>
      <c r="D31" s="1286"/>
      <c r="F31" s="343"/>
      <c r="G31" s="343"/>
      <c r="H31" s="343"/>
      <c r="I31" s="343"/>
      <c r="K31" s="368"/>
      <c r="AB31" s="343"/>
    </row>
    <row r="32" spans="1:29" ht="20.100000000000001" customHeight="1">
      <c r="A32" s="1287"/>
      <c r="B32" s="1273"/>
      <c r="C32" s="1273"/>
      <c r="D32" s="1288"/>
      <c r="F32" s="343"/>
      <c r="G32" s="343"/>
      <c r="H32" s="343"/>
      <c r="I32" s="343"/>
      <c r="K32" s="368"/>
      <c r="AB32" s="343"/>
    </row>
    <row r="33" spans="1:29" ht="20.100000000000001" customHeight="1">
      <c r="A33" s="333" t="s">
        <v>1555</v>
      </c>
      <c r="F33" s="343"/>
      <c r="G33" s="343"/>
      <c r="H33" s="343"/>
      <c r="I33" s="343"/>
      <c r="K33" s="368"/>
      <c r="AC33" s="343"/>
    </row>
    <row r="34" spans="1:29" ht="20.100000000000001" customHeight="1">
      <c r="F34" s="343"/>
      <c r="G34" s="343"/>
      <c r="H34" s="343"/>
      <c r="I34" s="343"/>
      <c r="J34" s="343"/>
      <c r="K34" s="343"/>
      <c r="L34" s="343"/>
      <c r="M34" s="343"/>
      <c r="AC34" s="343"/>
    </row>
    <row r="35" spans="1:29" ht="20.100000000000001" customHeight="1">
      <c r="F35" s="343"/>
      <c r="G35" s="343"/>
      <c r="H35" s="343"/>
      <c r="I35" s="343"/>
      <c r="J35" s="343"/>
      <c r="K35" s="343"/>
      <c r="L35" s="343"/>
      <c r="M35" s="343"/>
      <c r="AC35" s="343"/>
    </row>
    <row r="36" spans="1:29" ht="20.100000000000001" customHeight="1">
      <c r="F36" s="343"/>
      <c r="G36" s="343"/>
      <c r="H36" s="343"/>
      <c r="I36" s="343"/>
      <c r="J36" s="343"/>
      <c r="K36" s="343"/>
      <c r="L36" s="343"/>
      <c r="M36" s="343"/>
      <c r="AC36" s="343"/>
    </row>
    <row r="37" spans="1:29" ht="20.100000000000001" customHeight="1">
      <c r="F37" s="343"/>
      <c r="G37" s="343"/>
      <c r="H37" s="343"/>
      <c r="I37" s="343"/>
      <c r="J37" s="343"/>
      <c r="K37" s="343"/>
      <c r="L37" s="343"/>
      <c r="M37" s="343"/>
      <c r="AC37" s="343"/>
    </row>
    <row r="38" spans="1:29" ht="20.100000000000001" customHeight="1">
      <c r="F38" s="343"/>
      <c r="G38" s="343"/>
      <c r="H38" s="343"/>
      <c r="I38" s="343"/>
      <c r="J38" s="343"/>
      <c r="K38" s="343"/>
      <c r="L38" s="343"/>
      <c r="M38" s="343"/>
      <c r="AC38" s="343"/>
    </row>
    <row r="39" spans="1:29" ht="20.100000000000001" customHeight="1">
      <c r="F39" s="343"/>
      <c r="G39" s="343"/>
      <c r="H39" s="343"/>
      <c r="I39" s="343"/>
      <c r="J39" s="349"/>
      <c r="K39" s="343"/>
      <c r="L39" s="343"/>
      <c r="M39" s="343"/>
      <c r="AC39" s="343"/>
    </row>
    <row r="40" spans="1:29" ht="20.100000000000001" customHeight="1">
      <c r="F40" s="343"/>
      <c r="G40" s="343"/>
      <c r="H40" s="343"/>
      <c r="I40" s="343"/>
      <c r="J40" s="349"/>
      <c r="K40" s="343"/>
      <c r="L40" s="343"/>
      <c r="M40" s="343"/>
      <c r="X40" s="343"/>
      <c r="AC40" s="343"/>
    </row>
    <row r="41" spans="1:29" ht="20.100000000000001" customHeight="1">
      <c r="F41" s="343"/>
      <c r="G41" s="343"/>
      <c r="H41" s="343"/>
      <c r="I41" s="343"/>
      <c r="J41" s="349"/>
      <c r="K41" s="343"/>
      <c r="L41" s="343"/>
      <c r="M41" s="343"/>
      <c r="X41" s="343"/>
      <c r="AC41" s="343"/>
    </row>
    <row r="42" spans="1:29" ht="20.100000000000001" customHeight="1">
      <c r="I42" s="343"/>
      <c r="J42" s="349"/>
      <c r="K42" s="343"/>
      <c r="L42" s="343"/>
      <c r="M42" s="343"/>
      <c r="X42" s="343"/>
      <c r="AC42" s="343"/>
    </row>
    <row r="43" spans="1:29" ht="20.100000000000001" customHeight="1">
      <c r="I43" s="349"/>
      <c r="J43" s="349"/>
      <c r="K43" s="343"/>
      <c r="L43" s="343"/>
      <c r="M43" s="343"/>
      <c r="AC43" s="343"/>
    </row>
    <row r="44" spans="1:29" ht="20.100000000000001" customHeight="1">
      <c r="J44" s="343"/>
      <c r="K44" s="343"/>
      <c r="L44" s="343"/>
      <c r="M44" s="343"/>
      <c r="AC44" s="343"/>
    </row>
    <row r="45" spans="1:29" ht="20.100000000000001" customHeight="1">
      <c r="J45" s="343"/>
      <c r="K45" s="343"/>
      <c r="L45" s="343"/>
      <c r="M45" s="343"/>
      <c r="AC45" s="343"/>
    </row>
    <row r="46" spans="1:29" ht="20.100000000000001" customHeight="1">
      <c r="F46" s="343"/>
      <c r="G46" s="343"/>
      <c r="H46" s="343"/>
      <c r="I46" s="343"/>
      <c r="J46" s="343"/>
      <c r="K46" s="343"/>
      <c r="L46" s="343"/>
      <c r="M46" s="343"/>
    </row>
    <row r="47" spans="1:29" ht="20.100000000000001" customHeight="1">
      <c r="F47" s="343"/>
      <c r="G47" s="343"/>
      <c r="H47" s="343"/>
      <c r="I47" s="343"/>
      <c r="J47" s="343"/>
      <c r="K47" s="343"/>
      <c r="L47" s="343"/>
      <c r="M47" s="343"/>
    </row>
    <row r="48" spans="1:29" ht="20.100000000000001" customHeight="1">
      <c r="F48" s="343"/>
      <c r="G48" s="343"/>
      <c r="H48" s="343"/>
      <c r="I48" s="343"/>
      <c r="J48" s="343"/>
      <c r="K48" s="343"/>
      <c r="L48" s="343"/>
      <c r="M48" s="343"/>
    </row>
    <row r="49" spans="1:29" ht="20.100000000000001" customHeight="1">
      <c r="F49" s="343"/>
      <c r="G49" s="343"/>
      <c r="H49" s="343"/>
      <c r="I49" s="343"/>
      <c r="J49" s="343"/>
      <c r="K49" s="343"/>
      <c r="L49" s="343"/>
      <c r="M49" s="343"/>
      <c r="AC49" s="343"/>
    </row>
    <row r="50" spans="1:29" ht="20.100000000000001" customHeight="1">
      <c r="A50" s="262" t="s">
        <v>1554</v>
      </c>
      <c r="F50" s="343"/>
      <c r="G50" s="343"/>
      <c r="H50" s="343"/>
      <c r="I50" s="343"/>
      <c r="J50" s="343"/>
      <c r="K50" s="343"/>
      <c r="L50" s="343"/>
      <c r="M50" s="343"/>
      <c r="AC50" s="343"/>
    </row>
    <row r="51" spans="1:29" ht="20.100000000000001" customHeight="1">
      <c r="J51" s="343"/>
      <c r="K51" s="343"/>
      <c r="L51" s="343"/>
      <c r="M51" s="343"/>
      <c r="AC51" s="343"/>
    </row>
    <row r="52" spans="1:29" ht="20.100000000000001" customHeight="1">
      <c r="J52" s="343"/>
      <c r="K52" s="343"/>
      <c r="L52" s="343"/>
      <c r="M52" s="343"/>
      <c r="AC52" s="343"/>
    </row>
    <row r="53" spans="1:29" ht="20.100000000000001" customHeight="1">
      <c r="J53" s="343"/>
      <c r="K53" s="343"/>
      <c r="L53" s="343"/>
      <c r="M53" s="343"/>
      <c r="AC53" s="343"/>
    </row>
    <row r="54" spans="1:29" ht="20.100000000000001" customHeight="1">
      <c r="J54" s="343"/>
      <c r="K54" s="343"/>
      <c r="AC54" s="343"/>
    </row>
    <row r="55" spans="1:29" ht="20.100000000000001" customHeight="1">
      <c r="J55" s="343"/>
      <c r="K55" s="343"/>
      <c r="AC55" s="343"/>
    </row>
    <row r="56" spans="1:29" ht="20.100000000000001" customHeight="1">
      <c r="J56" s="343"/>
      <c r="K56" s="343"/>
      <c r="AC56" s="343"/>
    </row>
    <row r="57" spans="1:29" ht="20.100000000000001" customHeight="1">
      <c r="K57" s="343"/>
      <c r="AC57" s="343"/>
    </row>
    <row r="58" spans="1:29" ht="20.100000000000001" customHeight="1">
      <c r="AC58" s="343"/>
    </row>
    <row r="59" spans="1:29" ht="20.100000000000001" customHeight="1">
      <c r="AC59" s="343"/>
    </row>
    <row r="60" spans="1:29" ht="20.100000000000001" customHeight="1">
      <c r="AC60" s="343"/>
    </row>
    <row r="61" spans="1:29" ht="20.100000000000001" customHeight="1">
      <c r="AC61" s="343"/>
    </row>
    <row r="62" spans="1:29" ht="20.100000000000001" customHeight="1">
      <c r="AC62" s="343"/>
    </row>
    <row r="63" spans="1:29" ht="20.100000000000001" customHeight="1">
      <c r="AC63" s="343"/>
    </row>
    <row r="64" spans="1:29" ht="20.100000000000001" customHeight="1">
      <c r="AC64" s="343"/>
    </row>
    <row r="65" spans="29:29" ht="20.100000000000001" customHeight="1">
      <c r="AC65" s="343"/>
    </row>
    <row r="66" spans="29:29" ht="20.100000000000001" customHeight="1">
      <c r="AC66" s="343"/>
    </row>
  </sheetData>
  <sheetProtection password="828E" sheet="1" objects="1" scenarios="1"/>
  <dataConsolidate/>
  <mergeCells count="6">
    <mergeCell ref="A1:D1"/>
    <mergeCell ref="A29:D32"/>
    <mergeCell ref="D20:D21"/>
    <mergeCell ref="A23:D28"/>
    <mergeCell ref="A4:A9"/>
    <mergeCell ref="A10:A21"/>
  </mergeCells>
  <phoneticPr fontId="4" type="noConversion"/>
  <dataValidations count="1">
    <dataValidation type="list" allowBlank="1" showInputMessage="1" showErrorMessage="1" prompt="请选择" sqref="C4">
      <formula1>"滚珠,滚柱"</formula1>
    </dataValidation>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sheetPr codeName="Sheet26"/>
  <dimension ref="A1:AE77"/>
  <sheetViews>
    <sheetView workbookViewId="0">
      <selection sqref="A1:XFD1"/>
    </sheetView>
  </sheetViews>
  <sheetFormatPr defaultColWidth="15.625" defaultRowHeight="20.100000000000001" customHeight="1"/>
  <cols>
    <col min="1" max="1" width="13.375" style="262" customWidth="1"/>
    <col min="2" max="2" width="20" style="262" customWidth="1"/>
    <col min="3" max="3" width="13.875" style="263" customWidth="1"/>
    <col min="4" max="4" width="17.5" style="262" customWidth="1"/>
    <col min="5" max="5" width="5" style="262" customWidth="1"/>
    <col min="6" max="6" width="14.375" style="262" customWidth="1"/>
    <col min="7" max="7" width="13.25" style="262" customWidth="1"/>
    <col min="8" max="10" width="10.625" style="262" customWidth="1"/>
    <col min="11" max="11" width="8.875" style="262" customWidth="1"/>
    <col min="12" max="12" width="7.62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ht="21.95" customHeight="1">
      <c r="A1" s="1332" t="s">
        <v>1618</v>
      </c>
      <c r="B1" s="1333"/>
      <c r="C1" s="1333"/>
      <c r="D1" s="1333"/>
      <c r="F1" s="399"/>
      <c r="G1" s="343"/>
      <c r="H1" s="343"/>
    </row>
    <row r="2" spans="1:31" ht="20.100000000000001" customHeight="1">
      <c r="A2" s="333" t="s">
        <v>1559</v>
      </c>
      <c r="F2" s="399" t="s">
        <v>1520</v>
      </c>
      <c r="G2" s="343"/>
      <c r="H2" s="343"/>
      <c r="I2" s="343"/>
      <c r="J2" s="333" t="s">
        <v>1610</v>
      </c>
      <c r="R2" s="344"/>
      <c r="S2" s="344"/>
      <c r="T2" s="344"/>
      <c r="V2" s="342"/>
      <c r="W2" s="342"/>
      <c r="X2" s="342"/>
      <c r="Y2" s="342"/>
      <c r="Z2" s="342"/>
      <c r="AA2" s="342"/>
      <c r="AB2" s="342"/>
      <c r="AC2" s="342"/>
      <c r="AD2" s="342"/>
    </row>
    <row r="3" spans="1:31" ht="20.100000000000001" customHeight="1">
      <c r="A3" s="266" t="s">
        <v>753</v>
      </c>
      <c r="B3" s="266" t="s">
        <v>754</v>
      </c>
      <c r="C3" s="267" t="s">
        <v>755</v>
      </c>
      <c r="D3" s="266" t="s">
        <v>762</v>
      </c>
      <c r="F3" s="345" t="s">
        <v>1581</v>
      </c>
      <c r="G3" s="266" t="s">
        <v>1526</v>
      </c>
      <c r="H3" s="266" t="s">
        <v>1522</v>
      </c>
      <c r="I3" s="343"/>
      <c r="T3" s="344"/>
      <c r="V3" s="342"/>
      <c r="W3" s="342"/>
      <c r="X3" s="342"/>
      <c r="Y3" s="342"/>
      <c r="Z3" s="342"/>
      <c r="AA3" s="342"/>
      <c r="AB3" s="342"/>
      <c r="AC3" s="342"/>
      <c r="AD3" s="342"/>
    </row>
    <row r="4" spans="1:31" ht="20.100000000000001" customHeight="1">
      <c r="A4" s="1218" t="s">
        <v>756</v>
      </c>
      <c r="B4" s="345" t="s">
        <v>1603</v>
      </c>
      <c r="C4" s="369" t="s">
        <v>1254</v>
      </c>
      <c r="D4" s="266" t="s">
        <v>1545</v>
      </c>
      <c r="F4" s="345" t="s">
        <v>1574</v>
      </c>
      <c r="G4" s="346" t="s">
        <v>1527</v>
      </c>
      <c r="H4" s="346" t="s">
        <v>1577</v>
      </c>
      <c r="I4" s="343"/>
      <c r="T4" s="344"/>
      <c r="W4" s="343"/>
      <c r="X4" s="343"/>
      <c r="Y4" s="343"/>
      <c r="Z4" s="343"/>
      <c r="AA4" s="343"/>
      <c r="AB4" s="343"/>
      <c r="AC4" s="343"/>
      <c r="AD4" s="343"/>
    </row>
    <row r="5" spans="1:31" ht="20.100000000000001" customHeight="1">
      <c r="A5" s="1219"/>
      <c r="B5" s="345" t="s">
        <v>1546</v>
      </c>
      <c r="C5" s="369" t="s">
        <v>1547</v>
      </c>
      <c r="D5" s="266"/>
      <c r="F5" s="345" t="s">
        <v>357</v>
      </c>
      <c r="G5" s="346" t="s">
        <v>1528</v>
      </c>
      <c r="H5" s="346" t="s">
        <v>1578</v>
      </c>
      <c r="I5" s="343"/>
      <c r="T5" s="344"/>
      <c r="W5" s="344"/>
      <c r="X5" s="344"/>
      <c r="Y5" s="344"/>
      <c r="Z5" s="344"/>
      <c r="AA5" s="344"/>
      <c r="AB5" s="344"/>
      <c r="AC5" s="344"/>
      <c r="AD5" s="344"/>
      <c r="AE5" s="343"/>
    </row>
    <row r="6" spans="1:31" ht="20.100000000000001" customHeight="1">
      <c r="A6" s="1219"/>
      <c r="B6" s="266" t="s">
        <v>1456</v>
      </c>
      <c r="C6" s="326">
        <v>330</v>
      </c>
      <c r="D6" s="266"/>
      <c r="F6" s="345" t="s">
        <v>663</v>
      </c>
      <c r="G6" s="347" t="s">
        <v>1575</v>
      </c>
      <c r="H6" s="347" t="s">
        <v>1579</v>
      </c>
      <c r="I6" s="343"/>
      <c r="T6" s="344"/>
      <c r="W6" s="344"/>
      <c r="X6" s="344"/>
      <c r="Y6" s="344"/>
      <c r="Z6" s="344"/>
      <c r="AE6" s="344"/>
    </row>
    <row r="7" spans="1:31" ht="20.100000000000001" customHeight="1">
      <c r="A7" s="1219"/>
      <c r="B7" s="266" t="s">
        <v>1558</v>
      </c>
      <c r="C7" s="326">
        <v>2</v>
      </c>
      <c r="D7" s="345"/>
      <c r="F7" s="345" t="s">
        <v>359</v>
      </c>
      <c r="G7" s="347" t="s">
        <v>1576</v>
      </c>
      <c r="H7" s="347" t="s">
        <v>1580</v>
      </c>
      <c r="I7" s="343"/>
      <c r="U7" s="344"/>
      <c r="V7" s="344"/>
      <c r="W7" s="344"/>
      <c r="X7" s="344"/>
      <c r="Y7" s="344"/>
      <c r="Z7" s="344"/>
      <c r="AA7" s="344"/>
      <c r="AB7" s="344"/>
      <c r="AC7" s="344"/>
    </row>
    <row r="8" spans="1:31" ht="20.100000000000001" customHeight="1">
      <c r="A8" s="1219"/>
      <c r="B8" s="266" t="s">
        <v>1586</v>
      </c>
      <c r="C8" s="326">
        <v>600</v>
      </c>
      <c r="D8" s="345" t="s">
        <v>1607</v>
      </c>
      <c r="F8" s="343"/>
      <c r="G8" s="343"/>
      <c r="H8" s="343"/>
      <c r="I8" s="343"/>
      <c r="M8" s="343"/>
      <c r="V8" s="344"/>
      <c r="W8" s="344"/>
      <c r="X8" s="344"/>
      <c r="Y8" s="344"/>
      <c r="Z8" s="344"/>
      <c r="AA8" s="344"/>
      <c r="AB8" s="344"/>
      <c r="AC8" s="344"/>
      <c r="AD8" s="344"/>
    </row>
    <row r="9" spans="1:31" ht="20.100000000000001" customHeight="1">
      <c r="A9" s="1219"/>
      <c r="B9" s="266" t="s">
        <v>1590</v>
      </c>
      <c r="C9" s="326">
        <v>0.2</v>
      </c>
      <c r="D9" s="266" t="s">
        <v>1562</v>
      </c>
      <c r="F9" s="333" t="s">
        <v>1539</v>
      </c>
      <c r="G9" s="343"/>
      <c r="H9" s="343"/>
      <c r="I9" s="343"/>
      <c r="J9" s="343"/>
      <c r="K9" s="343"/>
      <c r="L9" s="343"/>
      <c r="M9" s="343"/>
      <c r="U9" s="344"/>
      <c r="V9" s="344"/>
      <c r="W9" s="344"/>
    </row>
    <row r="10" spans="1:31" ht="20.100000000000001" customHeight="1">
      <c r="A10" s="1219"/>
      <c r="B10" s="266" t="s">
        <v>1592</v>
      </c>
      <c r="C10" s="326">
        <v>0.2</v>
      </c>
      <c r="D10" s="266" t="s">
        <v>1502</v>
      </c>
      <c r="F10" s="439" t="s">
        <v>1543</v>
      </c>
      <c r="G10" s="267" t="s">
        <v>1540</v>
      </c>
      <c r="H10" s="343"/>
      <c r="I10" s="343"/>
      <c r="J10" s="343"/>
      <c r="K10" s="343"/>
      <c r="L10" s="343"/>
      <c r="M10" s="343"/>
      <c r="O10" s="343"/>
    </row>
    <row r="11" spans="1:31" ht="20.100000000000001" customHeight="1">
      <c r="A11" s="1219"/>
      <c r="B11" s="266" t="s">
        <v>1516</v>
      </c>
      <c r="C11" s="326">
        <v>5</v>
      </c>
      <c r="D11" s="266"/>
      <c r="F11" s="267">
        <v>1</v>
      </c>
      <c r="G11" s="346">
        <v>1</v>
      </c>
      <c r="H11" s="343"/>
      <c r="I11" s="343"/>
      <c r="J11" s="399" t="s">
        <v>1611</v>
      </c>
      <c r="K11" s="343"/>
      <c r="L11" s="343"/>
      <c r="M11" s="343"/>
    </row>
    <row r="12" spans="1:31" ht="20.100000000000001" customHeight="1">
      <c r="A12" s="1219"/>
      <c r="B12" s="266" t="s">
        <v>1591</v>
      </c>
      <c r="C12" s="326">
        <v>2</v>
      </c>
      <c r="D12" s="345" t="s">
        <v>1587</v>
      </c>
      <c r="F12" s="267">
        <v>2</v>
      </c>
      <c r="G12" s="346">
        <v>0.81</v>
      </c>
      <c r="H12" s="343"/>
      <c r="I12" s="343"/>
      <c r="J12" s="343"/>
      <c r="K12" s="343"/>
      <c r="L12" s="343"/>
      <c r="M12" s="343"/>
      <c r="AA12" s="343"/>
    </row>
    <row r="13" spans="1:31" ht="20.100000000000001" customHeight="1">
      <c r="A13" s="1219"/>
      <c r="B13" s="266" t="s">
        <v>1560</v>
      </c>
      <c r="C13" s="326">
        <f>2*8*350*5</f>
        <v>28000</v>
      </c>
      <c r="D13" s="266" t="s">
        <v>1517</v>
      </c>
      <c r="F13" s="267">
        <v>3</v>
      </c>
      <c r="G13" s="346">
        <v>0.72</v>
      </c>
      <c r="H13" s="343"/>
      <c r="I13" s="343"/>
      <c r="J13" s="343"/>
      <c r="K13" s="343"/>
      <c r="L13" s="343"/>
      <c r="M13" s="343"/>
      <c r="AA13" s="343"/>
    </row>
    <row r="14" spans="1:31" ht="20.100000000000001" customHeight="1">
      <c r="A14" s="1220"/>
      <c r="B14" s="266" t="s">
        <v>1564</v>
      </c>
      <c r="C14" s="441">
        <f>C13*60*C11*2*C8/10^6</f>
        <v>10080</v>
      </c>
      <c r="D14" s="266" t="s">
        <v>1565</v>
      </c>
      <c r="F14" s="267">
        <v>4</v>
      </c>
      <c r="G14" s="347">
        <v>0.66</v>
      </c>
      <c r="H14" s="343"/>
      <c r="I14" s="343"/>
      <c r="J14" s="343"/>
      <c r="K14" s="343"/>
      <c r="L14" s="343"/>
      <c r="M14" s="343"/>
      <c r="AA14" s="343"/>
    </row>
    <row r="15" spans="1:31" ht="20.100000000000001" customHeight="1">
      <c r="A15" s="1081" t="s">
        <v>1571</v>
      </c>
      <c r="B15" s="266" t="s">
        <v>1519</v>
      </c>
      <c r="C15" s="267">
        <f>2*C8/1000/(60/C11-C12)*60</f>
        <v>7.1999999999999993</v>
      </c>
      <c r="D15" s="266"/>
      <c r="F15" s="267">
        <v>5</v>
      </c>
      <c r="G15" s="347">
        <v>0.61</v>
      </c>
      <c r="H15" s="343"/>
      <c r="I15" s="343"/>
      <c r="J15" s="343"/>
      <c r="K15" s="343"/>
      <c r="L15" s="343"/>
      <c r="M15" s="343"/>
      <c r="AA15" s="343"/>
    </row>
    <row r="16" spans="1:31" ht="20.100000000000001" customHeight="1">
      <c r="A16" s="1082"/>
      <c r="B16" s="266" t="s">
        <v>1533</v>
      </c>
      <c r="C16" s="330">
        <v>1.2</v>
      </c>
      <c r="D16" s="266" t="s">
        <v>1174</v>
      </c>
      <c r="F16" s="267" t="s">
        <v>1541</v>
      </c>
      <c r="G16" s="347">
        <v>0.6</v>
      </c>
      <c r="H16" s="343"/>
      <c r="I16" s="343"/>
      <c r="J16" s="343"/>
      <c r="K16" s="343"/>
      <c r="L16" s="343"/>
      <c r="M16" s="343"/>
      <c r="AA16" s="343"/>
    </row>
    <row r="17" spans="1:27" ht="20.100000000000001" customHeight="1">
      <c r="A17" s="1082"/>
      <c r="B17" s="266" t="s">
        <v>1534</v>
      </c>
      <c r="C17" s="326">
        <v>57</v>
      </c>
      <c r="D17" s="266" t="s">
        <v>1535</v>
      </c>
      <c r="F17" s="343"/>
      <c r="G17" s="343"/>
      <c r="H17" s="343"/>
      <c r="I17" s="343"/>
      <c r="J17" s="343"/>
      <c r="K17" s="343"/>
      <c r="L17" s="343"/>
      <c r="M17" s="343"/>
      <c r="AA17" s="343"/>
    </row>
    <row r="18" spans="1:27" ht="20.100000000000001" customHeight="1">
      <c r="A18" s="1082"/>
      <c r="B18" s="266" t="s">
        <v>1536</v>
      </c>
      <c r="C18" s="284">
        <f>IF(C17&lt;57, -0.000000029056202*C17^6 + 0.000007475998062*C17^5 - 0.000793552083205*C17^4 + 0.044508155269588*C17^3 - 1.39104856058973*C17^2 + 22.9720175059869*C17 - 156.474607500798,1)</f>
        <v>1</v>
      </c>
      <c r="D18" s="266"/>
      <c r="F18" s="343" t="s">
        <v>1573</v>
      </c>
      <c r="G18" s="343"/>
      <c r="H18" s="343"/>
      <c r="I18" s="343"/>
      <c r="J18" s="343"/>
      <c r="K18" s="343"/>
      <c r="L18" s="343"/>
      <c r="Y18" s="343"/>
    </row>
    <row r="19" spans="1:27" ht="20.100000000000001" customHeight="1">
      <c r="A19" s="1082"/>
      <c r="B19" s="266" t="s">
        <v>1567</v>
      </c>
      <c r="C19" s="331">
        <v>100</v>
      </c>
      <c r="D19" s="266" t="s">
        <v>1561</v>
      </c>
      <c r="F19" s="343"/>
      <c r="G19" s="343"/>
      <c r="H19" s="343"/>
      <c r="I19" s="343"/>
      <c r="Y19" s="343"/>
    </row>
    <row r="20" spans="1:27" ht="20.100000000000001" customHeight="1">
      <c r="A20" s="1082"/>
      <c r="B20" s="266" t="s">
        <v>1537</v>
      </c>
      <c r="C20" s="284">
        <f xml:space="preserve"> IF(C19&gt;100,-0.000015869130869 *C19^2 + 0.002670689310689 *C19 + 0.887959740259746,1)</f>
        <v>1</v>
      </c>
      <c r="D20" s="266"/>
      <c r="F20" s="343"/>
      <c r="G20" s="343"/>
      <c r="H20" s="343"/>
      <c r="I20" s="343"/>
      <c r="Y20" s="343"/>
    </row>
    <row r="21" spans="1:27" ht="20.100000000000001" customHeight="1">
      <c r="A21" s="1082"/>
      <c r="B21" s="345" t="s">
        <v>1544</v>
      </c>
      <c r="C21" s="326">
        <v>2</v>
      </c>
      <c r="D21" s="266"/>
      <c r="F21" s="343"/>
      <c r="G21" s="343"/>
      <c r="H21" s="343"/>
      <c r="I21" s="343"/>
      <c r="Y21" s="343"/>
    </row>
    <row r="22" spans="1:27" ht="20.100000000000001" customHeight="1">
      <c r="A22" s="1083"/>
      <c r="B22" s="266" t="s">
        <v>1538</v>
      </c>
      <c r="C22" s="441">
        <f>IF(C21=1,1,IF(C21=2,0.81,IF(C21=3,0.72,IF(C21=4,0.66,IF(C21=5,0.61,IF(OR(C21=6,C21&gt;6),0.6,请填滑块数))))))</f>
        <v>0.81</v>
      </c>
      <c r="D22" s="266" t="s">
        <v>1545</v>
      </c>
      <c r="F22" s="343"/>
      <c r="G22" s="343"/>
      <c r="H22" s="343"/>
      <c r="I22" s="343"/>
      <c r="Y22" s="343"/>
    </row>
    <row r="23" spans="1:27" ht="20.100000000000001" customHeight="1">
      <c r="A23" s="1081" t="s">
        <v>1568</v>
      </c>
      <c r="B23" s="266" t="s">
        <v>1500</v>
      </c>
      <c r="C23" s="378">
        <f>2*C8/1000/(60/C11-C12-C9-C10)</f>
        <v>0.12499999999999997</v>
      </c>
      <c r="D23" s="266" t="str">
        <f>ROUND(C23*1000,2)&amp;" mm/s"</f>
        <v>125 mm/s</v>
      </c>
      <c r="F23" s="343"/>
      <c r="G23" s="343"/>
      <c r="H23" s="343"/>
      <c r="I23" s="343"/>
      <c r="Y23" s="343"/>
    </row>
    <row r="24" spans="1:27" ht="20.100000000000001" customHeight="1">
      <c r="A24" s="1082"/>
      <c r="B24" s="266" t="s">
        <v>1588</v>
      </c>
      <c r="C24" s="378">
        <f>C23/C9</f>
        <v>0.62499999999999978</v>
      </c>
      <c r="D24" s="266"/>
      <c r="F24" s="343"/>
      <c r="G24" s="343"/>
      <c r="H24" s="343"/>
      <c r="I24" s="343"/>
      <c r="Y24" s="343"/>
    </row>
    <row r="25" spans="1:27" ht="20.100000000000001" customHeight="1">
      <c r="A25" s="1083"/>
      <c r="B25" s="334" t="s">
        <v>1589</v>
      </c>
      <c r="C25" s="378">
        <f>C23/C10</f>
        <v>0.62499999999999978</v>
      </c>
      <c r="D25" s="288"/>
      <c r="F25" s="343"/>
      <c r="G25" s="343"/>
      <c r="H25" s="343"/>
      <c r="I25" s="343"/>
      <c r="X25" s="343"/>
    </row>
    <row r="26" spans="1:27" ht="20.100000000000001" customHeight="1">
      <c r="A26" s="1081" t="s">
        <v>1569</v>
      </c>
      <c r="B26" s="334" t="s">
        <v>1604</v>
      </c>
      <c r="C26" s="326">
        <v>190</v>
      </c>
      <c r="D26" s="442" t="s">
        <v>1572</v>
      </c>
      <c r="F26" s="343"/>
      <c r="G26" s="343"/>
      <c r="H26" s="343"/>
      <c r="I26" s="343"/>
      <c r="X26" s="343"/>
    </row>
    <row r="27" spans="1:27" ht="20.100000000000001" customHeight="1">
      <c r="A27" s="1082"/>
      <c r="B27" s="334" t="s">
        <v>1605</v>
      </c>
      <c r="C27" s="326">
        <v>397.5</v>
      </c>
      <c r="D27" s="443"/>
      <c r="F27" s="343"/>
      <c r="G27" s="343"/>
      <c r="H27" s="343"/>
      <c r="I27" s="343"/>
      <c r="X27" s="343"/>
    </row>
    <row r="28" spans="1:27" ht="20.100000000000001" customHeight="1">
      <c r="A28" s="1082"/>
      <c r="B28" s="334" t="s">
        <v>1606</v>
      </c>
      <c r="C28" s="326">
        <v>25.5</v>
      </c>
      <c r="D28" s="444"/>
      <c r="F28" s="343"/>
      <c r="G28" s="343"/>
      <c r="H28" s="343"/>
      <c r="I28" s="343"/>
      <c r="X28" s="343"/>
    </row>
    <row r="29" spans="1:27" ht="20.100000000000001" customHeight="1">
      <c r="A29" s="1082"/>
      <c r="B29" s="266" t="s">
        <v>1595</v>
      </c>
      <c r="C29" s="445">
        <f>IF(C4="竖直",C6*(9.8+C24)*C27/(2*C26),IF(C4="水平",C6*9.8/4-C6*C24*C27/2/C26,"请选择布局方式"))</f>
        <v>592.75164473684231</v>
      </c>
      <c r="D29" s="1334" t="s">
        <v>1598</v>
      </c>
      <c r="F29" s="343"/>
      <c r="G29" s="343"/>
      <c r="H29" s="343"/>
      <c r="I29" s="343"/>
      <c r="X29" s="343"/>
    </row>
    <row r="30" spans="1:27" ht="20.100000000000001" customHeight="1">
      <c r="A30" s="1082"/>
      <c r="B30" s="266" t="s">
        <v>1594</v>
      </c>
      <c r="C30" s="445">
        <f>IF(C4="竖直",-C6*(9.8+C24)*C27/(2*C26),IF(C4="水平",C6*9.8/4+C6*C24*C27/2/C26,"请选择布局方式"))</f>
        <v>1024.2483552631579</v>
      </c>
      <c r="D30" s="1335"/>
      <c r="F30" s="343"/>
      <c r="G30" s="343"/>
      <c r="H30" s="343"/>
      <c r="I30" s="343"/>
      <c r="X30" s="343"/>
    </row>
    <row r="31" spans="1:27" ht="20.100000000000001" customHeight="1">
      <c r="A31" s="1082"/>
      <c r="B31" s="266" t="s">
        <v>1596</v>
      </c>
      <c r="C31" s="445">
        <f>IF(C4="竖直",C6*(9.8+C24)*C28/(2*C26),IF(C4="水平",C6*C24*C28/2/C26,"请选择布局方式"))</f>
        <v>13.840460526315784</v>
      </c>
      <c r="D31" s="1335"/>
      <c r="F31" s="343"/>
      <c r="G31" s="343"/>
      <c r="H31" s="343"/>
      <c r="I31" s="343"/>
      <c r="X31" s="343"/>
    </row>
    <row r="32" spans="1:27" ht="20.100000000000001" customHeight="1">
      <c r="A32" s="1082"/>
      <c r="B32" s="266" t="s">
        <v>1597</v>
      </c>
      <c r="C32" s="445">
        <f>IF(C4="竖直",-C6*(9.8+C24)*C28/(2*C26),IF(C4="水平",-C6*C24*C28/2/C26,"请选择布局方式"))</f>
        <v>-13.840460526315784</v>
      </c>
      <c r="D32" s="1336"/>
      <c r="F32" s="343"/>
      <c r="G32" s="343"/>
      <c r="H32" s="343"/>
      <c r="I32" s="343"/>
      <c r="X32" s="343"/>
    </row>
    <row r="33" spans="1:29" ht="20.100000000000001" customHeight="1">
      <c r="A33" s="1082"/>
      <c r="B33" s="266" t="s">
        <v>1599</v>
      </c>
      <c r="C33" s="446">
        <f>IF(C4="竖直",-C6*(9.8-C25)*C27/(2*C26),IF(C4="水平",C6*9.8/4+C6*C25*C27/2/C26,"请选择布局方式"))</f>
        <v>1024.2483552631579</v>
      </c>
      <c r="D33" s="1337" t="s">
        <v>1593</v>
      </c>
      <c r="F33" s="343"/>
      <c r="G33" s="343"/>
      <c r="H33" s="343"/>
      <c r="I33" s="343"/>
      <c r="Y33" s="343"/>
    </row>
    <row r="34" spans="1:29" ht="20.100000000000001" customHeight="1">
      <c r="A34" s="1082"/>
      <c r="B34" s="266" t="s">
        <v>1600</v>
      </c>
      <c r="C34" s="446">
        <f>IF(C4="竖直",C6*(9.8-C25)*C27/(2*C26),IF(C4="水平",C6*9.8/4-C6*C25*C27/2/C26,"请选择布局方式"))</f>
        <v>592.75164473684231</v>
      </c>
      <c r="D34" s="1338"/>
      <c r="F34" s="343"/>
      <c r="G34" s="343"/>
      <c r="H34" s="343"/>
      <c r="I34" s="343"/>
      <c r="AC34" s="343"/>
    </row>
    <row r="35" spans="1:29" ht="20.100000000000001" customHeight="1">
      <c r="A35" s="1082"/>
      <c r="B35" s="266" t="s">
        <v>1601</v>
      </c>
      <c r="C35" s="446">
        <f>IF(C4="竖直",C6*(9.8-C25)*C28/(2*C26),IF(C4="水平",-C6*C25*C28/2/C26,"请选择布局方式"))</f>
        <v>-13.840460526315784</v>
      </c>
      <c r="D35" s="1338"/>
      <c r="F35" s="343"/>
      <c r="G35" s="343"/>
      <c r="H35" s="343"/>
      <c r="I35" s="343"/>
      <c r="AC35" s="343"/>
    </row>
    <row r="36" spans="1:29" ht="20.100000000000001" customHeight="1">
      <c r="A36" s="1082"/>
      <c r="B36" s="266" t="s">
        <v>1602</v>
      </c>
      <c r="C36" s="446">
        <f>IF(C4="竖直",-C6*(9.8-C25)*C28/(2*C26),IF(C4="水平",C6*C25*C28/2/C26,"请选择布局方式"))</f>
        <v>13.840460526315784</v>
      </c>
      <c r="D36" s="1339"/>
      <c r="F36" s="343"/>
      <c r="G36" s="343"/>
      <c r="H36" s="343"/>
      <c r="I36" s="343"/>
      <c r="AC36" s="343"/>
    </row>
    <row r="37" spans="1:29" ht="20.100000000000001" customHeight="1">
      <c r="A37" s="1083"/>
      <c r="B37" s="266" t="s">
        <v>1566</v>
      </c>
      <c r="C37" s="284">
        <f>MAX(C29,C31,C30,C32,C33,C34,C35,C36)</f>
        <v>1024.2483552631579</v>
      </c>
      <c r="D37" s="266" t="s">
        <v>1585</v>
      </c>
      <c r="F37" s="343"/>
      <c r="G37" s="343"/>
      <c r="H37" s="343"/>
      <c r="I37" s="343"/>
      <c r="AC37" s="343"/>
    </row>
    <row r="38" spans="1:29" ht="20.100000000000001" customHeight="1">
      <c r="A38" s="1081" t="s">
        <v>1570</v>
      </c>
      <c r="B38" s="266" t="s">
        <v>1548</v>
      </c>
      <c r="C38" s="412">
        <f>IF(C5="滚珠",C37*C16/(C18*C20*C22)*(C14/50)^(1/3),IF(C5="滚柱",C37*C16/(C18*C20*C22)*(C14/100)^(3/10),IF(C5="免润滑",C37*C16*(C14/50)^(1/1.57),"请选择滚动体类型")))</f>
        <v>8897.4388455015633</v>
      </c>
      <c r="D38" s="1090" t="s">
        <v>1552</v>
      </c>
      <c r="F38" s="343"/>
      <c r="G38" s="343"/>
      <c r="H38" s="343"/>
      <c r="I38" s="343"/>
      <c r="AC38" s="343"/>
    </row>
    <row r="39" spans="1:29" ht="20.100000000000001" customHeight="1">
      <c r="A39" s="1083"/>
      <c r="B39" s="345" t="s">
        <v>1550</v>
      </c>
      <c r="C39" s="432"/>
      <c r="D39" s="1015"/>
      <c r="F39" s="343"/>
      <c r="G39" s="343"/>
      <c r="H39" s="343"/>
      <c r="I39" s="343"/>
      <c r="AC39" s="343"/>
    </row>
    <row r="40" spans="1:29" ht="20.100000000000001" customHeight="1">
      <c r="F40" s="343"/>
      <c r="G40" s="343"/>
      <c r="H40" s="343"/>
      <c r="I40" s="343"/>
      <c r="X40" s="343"/>
      <c r="AC40" s="343"/>
    </row>
    <row r="41" spans="1:29" ht="20.100000000000001" customHeight="1">
      <c r="A41" s="1340" t="s">
        <v>1612</v>
      </c>
      <c r="B41" s="1224"/>
      <c r="C41" s="1224"/>
      <c r="D41" s="1341"/>
      <c r="F41" s="343"/>
      <c r="G41" s="343"/>
      <c r="H41" s="343"/>
      <c r="I41" s="343"/>
      <c r="X41" s="343"/>
      <c r="AC41" s="343"/>
    </row>
    <row r="42" spans="1:29" ht="20.100000000000001" customHeight="1">
      <c r="A42" s="1342"/>
      <c r="B42" s="1032"/>
      <c r="C42" s="1032"/>
      <c r="D42" s="1343"/>
      <c r="F42" s="343"/>
      <c r="G42" s="343"/>
      <c r="H42" s="343"/>
      <c r="I42" s="343"/>
      <c r="X42" s="343"/>
      <c r="AC42" s="343"/>
    </row>
    <row r="43" spans="1:29" ht="20.100000000000001" customHeight="1">
      <c r="A43" s="1342"/>
      <c r="B43" s="1032"/>
      <c r="C43" s="1032"/>
      <c r="D43" s="1343"/>
      <c r="F43" s="343"/>
      <c r="G43" s="343"/>
      <c r="H43" s="343"/>
      <c r="I43" s="343"/>
      <c r="AC43" s="343"/>
    </row>
    <row r="44" spans="1:29" ht="20.100000000000001" customHeight="1">
      <c r="A44" s="1342"/>
      <c r="B44" s="1032"/>
      <c r="C44" s="1032"/>
      <c r="D44" s="1343"/>
      <c r="F44" s="343"/>
      <c r="G44" s="343"/>
      <c r="H44" s="343"/>
      <c r="I44" s="343"/>
      <c r="AC44" s="343"/>
    </row>
    <row r="45" spans="1:29" ht="20.100000000000001" customHeight="1">
      <c r="A45" s="1342"/>
      <c r="B45" s="1032"/>
      <c r="C45" s="1032"/>
      <c r="D45" s="1343"/>
      <c r="F45" s="343"/>
      <c r="G45" s="343"/>
      <c r="H45" s="343"/>
      <c r="I45" s="343"/>
      <c r="AC45" s="343"/>
    </row>
    <row r="46" spans="1:29" ht="20.100000000000001" customHeight="1">
      <c r="A46" s="1342"/>
      <c r="B46" s="1032"/>
      <c r="C46" s="1032"/>
      <c r="D46" s="1343"/>
      <c r="F46" s="343"/>
      <c r="G46" s="343"/>
      <c r="H46" s="343"/>
      <c r="I46" s="343"/>
    </row>
    <row r="47" spans="1:29" ht="20.100000000000001" customHeight="1">
      <c r="A47" s="1342"/>
      <c r="B47" s="1032"/>
      <c r="C47" s="1032"/>
      <c r="D47" s="1343"/>
      <c r="F47" s="343"/>
      <c r="G47" s="343"/>
      <c r="H47" s="343"/>
      <c r="I47" s="343"/>
    </row>
    <row r="48" spans="1:29" ht="20.100000000000001" customHeight="1">
      <c r="A48" s="1342"/>
      <c r="B48" s="1032"/>
      <c r="C48" s="1032"/>
      <c r="D48" s="1343"/>
      <c r="F48" s="343"/>
      <c r="G48" s="343"/>
      <c r="H48" s="343"/>
      <c r="I48" s="343"/>
    </row>
    <row r="49" spans="1:29" ht="20.100000000000001" customHeight="1">
      <c r="A49" s="1344"/>
      <c r="B49" s="1345"/>
      <c r="C49" s="1345"/>
      <c r="D49" s="1346"/>
      <c r="F49" s="343"/>
      <c r="G49" s="343"/>
      <c r="H49" s="343"/>
      <c r="I49" s="343"/>
      <c r="AC49" s="343"/>
    </row>
    <row r="50" spans="1:29" ht="20.100000000000001" customHeight="1">
      <c r="A50" s="1282" t="s">
        <v>1620</v>
      </c>
      <c r="B50" s="1283"/>
      <c r="C50" s="1283"/>
      <c r="D50" s="1284"/>
      <c r="F50" s="343"/>
      <c r="G50" s="343"/>
      <c r="H50" s="343"/>
      <c r="I50" s="343"/>
      <c r="AC50" s="343"/>
    </row>
    <row r="51" spans="1:29" ht="20.100000000000001" customHeight="1">
      <c r="A51" s="1285"/>
      <c r="B51" s="1272"/>
      <c r="C51" s="1272"/>
      <c r="D51" s="1286"/>
      <c r="F51" s="262" t="s">
        <v>1582</v>
      </c>
      <c r="G51" s="368"/>
      <c r="AC51" s="343"/>
    </row>
    <row r="52" spans="1:29" ht="20.100000000000001" customHeight="1">
      <c r="A52" s="1285"/>
      <c r="B52" s="1272"/>
      <c r="C52" s="1272"/>
      <c r="D52" s="1286"/>
      <c r="G52" s="368"/>
      <c r="AC52" s="343"/>
    </row>
    <row r="53" spans="1:29" ht="20.100000000000001" customHeight="1">
      <c r="A53" s="1287"/>
      <c r="B53" s="1273"/>
      <c r="C53" s="1273"/>
      <c r="D53" s="1288"/>
      <c r="G53" s="368"/>
      <c r="M53" s="343"/>
      <c r="AC53" s="343"/>
    </row>
    <row r="54" spans="1:29" ht="20.100000000000001" customHeight="1">
      <c r="A54" s="333" t="s">
        <v>1555</v>
      </c>
      <c r="F54" s="343"/>
      <c r="G54" s="343"/>
      <c r="H54" s="343"/>
      <c r="I54" s="343"/>
      <c r="J54" s="343"/>
      <c r="K54" s="343"/>
      <c r="L54" s="343"/>
      <c r="M54" s="343"/>
      <c r="AC54" s="343"/>
    </row>
    <row r="55" spans="1:29" ht="20.100000000000001" customHeight="1">
      <c r="F55" s="343"/>
      <c r="G55" s="343"/>
      <c r="H55" s="343"/>
      <c r="I55" s="343"/>
      <c r="J55" s="343"/>
      <c r="K55" s="343"/>
      <c r="L55" s="343"/>
      <c r="M55" s="343"/>
      <c r="AC55" s="343"/>
    </row>
    <row r="56" spans="1:29" ht="20.100000000000001" customHeight="1">
      <c r="F56" s="343"/>
      <c r="G56" s="343"/>
      <c r="H56" s="343"/>
      <c r="I56" s="343"/>
      <c r="J56" s="343"/>
      <c r="K56" s="343"/>
      <c r="L56" s="343"/>
      <c r="M56" s="343"/>
      <c r="AC56" s="343"/>
    </row>
    <row r="57" spans="1:29" ht="20.100000000000001" customHeight="1">
      <c r="F57" s="343"/>
      <c r="G57" s="343"/>
      <c r="H57" s="343"/>
      <c r="I57" s="343"/>
      <c r="J57" s="343"/>
      <c r="K57" s="343"/>
      <c r="L57" s="343"/>
      <c r="M57" s="343"/>
      <c r="AC57" s="343"/>
    </row>
    <row r="58" spans="1:29" ht="20.100000000000001" customHeight="1">
      <c r="F58" s="343"/>
      <c r="G58" s="343"/>
      <c r="H58" s="343"/>
      <c r="I58" s="343"/>
      <c r="J58" s="343"/>
      <c r="K58" s="343"/>
      <c r="L58" s="343"/>
      <c r="M58" s="343"/>
      <c r="AC58" s="343"/>
    </row>
    <row r="59" spans="1:29" ht="20.100000000000001" customHeight="1">
      <c r="F59" s="343"/>
      <c r="G59" s="343"/>
      <c r="H59" s="343"/>
      <c r="I59" s="343"/>
      <c r="J59" s="349"/>
      <c r="K59" s="343"/>
      <c r="L59" s="343"/>
      <c r="M59" s="343"/>
      <c r="AC59" s="343"/>
    </row>
    <row r="60" spans="1:29" ht="20.100000000000001" customHeight="1">
      <c r="F60" s="343"/>
      <c r="G60" s="343"/>
      <c r="H60" s="343"/>
      <c r="I60" s="343"/>
      <c r="J60" s="349"/>
      <c r="K60" s="343"/>
      <c r="L60" s="343"/>
      <c r="M60" s="343"/>
      <c r="AC60" s="343"/>
    </row>
    <row r="61" spans="1:29" ht="20.100000000000001" customHeight="1">
      <c r="F61" s="343"/>
      <c r="G61" s="343"/>
      <c r="H61" s="343"/>
      <c r="I61" s="343"/>
      <c r="J61" s="349"/>
      <c r="K61" s="343"/>
      <c r="L61" s="343"/>
      <c r="M61" s="343"/>
      <c r="AC61" s="343"/>
    </row>
    <row r="62" spans="1:29" ht="20.100000000000001" customHeight="1">
      <c r="I62" s="343"/>
      <c r="J62" s="349"/>
      <c r="K62" s="343"/>
      <c r="L62" s="343"/>
      <c r="M62" s="343"/>
      <c r="AC62" s="343"/>
    </row>
    <row r="63" spans="1:29" ht="20.100000000000001" customHeight="1">
      <c r="I63" s="349"/>
      <c r="J63" s="349"/>
      <c r="K63" s="343"/>
      <c r="L63" s="343"/>
      <c r="M63" s="343"/>
      <c r="AC63" s="343"/>
    </row>
    <row r="64" spans="1:29" ht="20.100000000000001" customHeight="1">
      <c r="J64" s="343"/>
      <c r="K64" s="343"/>
      <c r="L64" s="343"/>
      <c r="M64" s="343"/>
      <c r="AC64" s="343"/>
    </row>
    <row r="65" spans="1:29" ht="20.100000000000001" customHeight="1">
      <c r="A65" s="262" t="s">
        <v>1584</v>
      </c>
      <c r="J65" s="343"/>
      <c r="K65" s="343"/>
      <c r="L65" s="343"/>
      <c r="M65" s="343"/>
      <c r="AC65" s="343"/>
    </row>
    <row r="66" spans="1:29" ht="20.100000000000001" customHeight="1">
      <c r="F66" s="343"/>
      <c r="G66" s="343"/>
      <c r="H66" s="343"/>
      <c r="I66" s="343"/>
      <c r="J66" s="343"/>
      <c r="K66" s="343"/>
      <c r="L66" s="343"/>
      <c r="M66" s="343"/>
      <c r="AC66" s="343"/>
    </row>
    <row r="67" spans="1:29" ht="20.100000000000001" customHeight="1">
      <c r="F67" s="343"/>
      <c r="G67" s="343"/>
      <c r="H67" s="343"/>
      <c r="I67" s="343"/>
      <c r="J67" s="343"/>
      <c r="K67" s="343"/>
      <c r="L67" s="343"/>
      <c r="M67" s="343"/>
    </row>
    <row r="68" spans="1:29" ht="20.100000000000001" customHeight="1">
      <c r="F68" s="343"/>
      <c r="G68" s="343"/>
      <c r="H68" s="343"/>
      <c r="I68" s="343"/>
      <c r="J68" s="343"/>
      <c r="K68" s="343"/>
      <c r="L68" s="343"/>
      <c r="M68" s="343"/>
    </row>
    <row r="69" spans="1:29" ht="20.100000000000001" customHeight="1">
      <c r="F69" s="343"/>
      <c r="G69" s="343"/>
      <c r="H69" s="343"/>
      <c r="I69" s="343"/>
      <c r="J69" s="343"/>
      <c r="K69" s="343"/>
      <c r="L69" s="343"/>
      <c r="M69" s="343"/>
    </row>
    <row r="70" spans="1:29" ht="20.100000000000001" customHeight="1">
      <c r="A70" s="262" t="s">
        <v>1583</v>
      </c>
      <c r="F70" s="343"/>
      <c r="G70" s="343"/>
      <c r="H70" s="343"/>
      <c r="I70" s="343"/>
      <c r="J70" s="343"/>
      <c r="K70" s="343"/>
      <c r="L70" s="343"/>
      <c r="M70" s="343"/>
    </row>
    <row r="71" spans="1:29" ht="20.100000000000001" customHeight="1">
      <c r="J71" s="343"/>
      <c r="K71" s="343"/>
      <c r="L71" s="343"/>
      <c r="M71" s="343"/>
    </row>
    <row r="72" spans="1:29" ht="20.100000000000001" customHeight="1">
      <c r="J72" s="343"/>
      <c r="K72" s="343"/>
      <c r="L72" s="343"/>
      <c r="M72" s="343"/>
    </row>
    <row r="73" spans="1:29" ht="20.100000000000001" customHeight="1">
      <c r="J73" s="343"/>
      <c r="K73" s="343"/>
      <c r="L73" s="343"/>
    </row>
    <row r="74" spans="1:29" ht="20.100000000000001" customHeight="1">
      <c r="J74" s="343"/>
      <c r="K74" s="343"/>
    </row>
    <row r="75" spans="1:29" ht="20.100000000000001" customHeight="1">
      <c r="J75" s="343"/>
      <c r="K75" s="343"/>
    </row>
    <row r="76" spans="1:29" ht="20.100000000000001" customHeight="1">
      <c r="J76" s="343"/>
      <c r="K76" s="343"/>
    </row>
    <row r="77" spans="1:29" ht="20.100000000000001" customHeight="1">
      <c r="K77" s="343"/>
    </row>
  </sheetData>
  <sheetProtection password="828E" sheet="1" objects="1" scenarios="1"/>
  <dataConsolidate/>
  <mergeCells count="11">
    <mergeCell ref="A50:D53"/>
    <mergeCell ref="D38:D39"/>
    <mergeCell ref="A15:A22"/>
    <mergeCell ref="A1:D1"/>
    <mergeCell ref="D29:D32"/>
    <mergeCell ref="D33:D36"/>
    <mergeCell ref="A41:D49"/>
    <mergeCell ref="A23:A25"/>
    <mergeCell ref="A26:A37"/>
    <mergeCell ref="A38:A39"/>
    <mergeCell ref="A4:A14"/>
  </mergeCells>
  <phoneticPr fontId="4" type="noConversion"/>
  <dataValidations count="2">
    <dataValidation type="list" allowBlank="1" showInputMessage="1" showErrorMessage="1" prompt="请选择" sqref="C5">
      <formula1>"滚珠,滚柱,免润滑"</formula1>
    </dataValidation>
    <dataValidation type="list" allowBlank="1" showInputMessage="1" showErrorMessage="1" prompt="请选择" sqref="C4">
      <formula1>"水平,竖直"</formula1>
    </dataValidation>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sheetPr codeName="Sheet27"/>
  <dimension ref="A1:AE77"/>
  <sheetViews>
    <sheetView workbookViewId="0">
      <selection activeCell="A4" sqref="A4:A14"/>
    </sheetView>
  </sheetViews>
  <sheetFormatPr defaultColWidth="15.625" defaultRowHeight="20.100000000000001" customHeight="1"/>
  <cols>
    <col min="1" max="1" width="13.375" style="262" customWidth="1"/>
    <col min="2" max="2" width="20" style="262" customWidth="1"/>
    <col min="3" max="3" width="13.875" style="263" customWidth="1"/>
    <col min="4" max="4" width="17.5" style="262" customWidth="1"/>
    <col min="5" max="5" width="5" style="262" customWidth="1"/>
    <col min="6" max="6" width="14.375" style="262" customWidth="1"/>
    <col min="7" max="7" width="13.25" style="262" customWidth="1"/>
    <col min="8" max="10" width="10.625" style="262" customWidth="1"/>
    <col min="11" max="11" width="8.875" style="262" customWidth="1"/>
    <col min="12" max="12" width="7.62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ht="21.95" customHeight="1">
      <c r="A1" s="1332" t="s">
        <v>1619</v>
      </c>
      <c r="B1" s="1333"/>
      <c r="C1" s="1333"/>
      <c r="D1" s="1333"/>
      <c r="F1" s="399"/>
      <c r="G1" s="343"/>
      <c r="H1" s="343"/>
    </row>
    <row r="2" spans="1:31" ht="20.100000000000001" customHeight="1">
      <c r="A2" s="333" t="s">
        <v>1559</v>
      </c>
      <c r="F2" s="399" t="s">
        <v>1520</v>
      </c>
      <c r="G2" s="343"/>
      <c r="H2" s="343"/>
      <c r="I2" s="343"/>
      <c r="J2" s="333" t="s">
        <v>1610</v>
      </c>
      <c r="R2" s="344"/>
      <c r="S2" s="344"/>
      <c r="T2" s="344"/>
      <c r="V2" s="342"/>
      <c r="W2" s="342"/>
      <c r="X2" s="342"/>
      <c r="Y2" s="342"/>
      <c r="Z2" s="342"/>
      <c r="AA2" s="342"/>
      <c r="AB2" s="342"/>
      <c r="AC2" s="342"/>
      <c r="AD2" s="342"/>
    </row>
    <row r="3" spans="1:31" ht="20.100000000000001" customHeight="1">
      <c r="A3" s="266" t="s">
        <v>753</v>
      </c>
      <c r="B3" s="266" t="s">
        <v>754</v>
      </c>
      <c r="C3" s="267" t="s">
        <v>755</v>
      </c>
      <c r="D3" s="266" t="s">
        <v>762</v>
      </c>
      <c r="F3" s="345" t="s">
        <v>1581</v>
      </c>
      <c r="G3" s="266" t="s">
        <v>1526</v>
      </c>
      <c r="H3" s="266" t="s">
        <v>1522</v>
      </c>
      <c r="I3" s="343"/>
      <c r="T3" s="344"/>
      <c r="V3" s="342"/>
      <c r="W3" s="342"/>
      <c r="X3" s="342"/>
      <c r="Y3" s="342"/>
      <c r="Z3" s="342"/>
      <c r="AA3" s="342"/>
      <c r="AB3" s="342"/>
      <c r="AC3" s="342"/>
      <c r="AD3" s="342"/>
    </row>
    <row r="4" spans="1:31" ht="20.100000000000001" customHeight="1">
      <c r="A4" s="1218" t="s">
        <v>756</v>
      </c>
      <c r="B4" s="345" t="s">
        <v>1603</v>
      </c>
      <c r="C4" s="369" t="s">
        <v>1341</v>
      </c>
      <c r="D4" s="266" t="s">
        <v>1545</v>
      </c>
      <c r="F4" s="345" t="s">
        <v>1574</v>
      </c>
      <c r="G4" s="346" t="s">
        <v>1527</v>
      </c>
      <c r="H4" s="346" t="s">
        <v>1577</v>
      </c>
      <c r="I4" s="343"/>
      <c r="T4" s="344"/>
      <c r="W4" s="343"/>
      <c r="X4" s="343"/>
      <c r="Y4" s="343"/>
      <c r="Z4" s="343"/>
      <c r="AA4" s="343"/>
      <c r="AB4" s="343"/>
      <c r="AC4" s="343"/>
      <c r="AD4" s="343"/>
    </row>
    <row r="5" spans="1:31" ht="20.100000000000001" customHeight="1">
      <c r="A5" s="1219"/>
      <c r="B5" s="345" t="s">
        <v>1546</v>
      </c>
      <c r="C5" s="369" t="s">
        <v>1547</v>
      </c>
      <c r="D5" s="266"/>
      <c r="F5" s="345" t="s">
        <v>357</v>
      </c>
      <c r="G5" s="346" t="s">
        <v>1528</v>
      </c>
      <c r="H5" s="346" t="s">
        <v>1578</v>
      </c>
      <c r="I5" s="343"/>
      <c r="T5" s="344"/>
      <c r="W5" s="344"/>
      <c r="X5" s="344"/>
      <c r="Y5" s="344"/>
      <c r="Z5" s="344"/>
      <c r="AA5" s="344"/>
      <c r="AB5" s="344"/>
      <c r="AC5" s="344"/>
      <c r="AD5" s="344"/>
      <c r="AE5" s="343"/>
    </row>
    <row r="6" spans="1:31" ht="20.100000000000001" customHeight="1">
      <c r="A6" s="1219"/>
      <c r="B6" s="266" t="s">
        <v>1456</v>
      </c>
      <c r="C6" s="326">
        <v>5</v>
      </c>
      <c r="D6" s="266"/>
      <c r="F6" s="345" t="s">
        <v>663</v>
      </c>
      <c r="G6" s="347" t="s">
        <v>1575</v>
      </c>
      <c r="H6" s="347" t="s">
        <v>1579</v>
      </c>
      <c r="I6" s="343"/>
      <c r="T6" s="344"/>
      <c r="W6" s="344"/>
      <c r="X6" s="344"/>
      <c r="Y6" s="344"/>
      <c r="Z6" s="344"/>
      <c r="AE6" s="344"/>
    </row>
    <row r="7" spans="1:31" ht="20.100000000000001" customHeight="1">
      <c r="A7" s="1219"/>
      <c r="B7" s="266" t="s">
        <v>1558</v>
      </c>
      <c r="C7" s="326">
        <v>2</v>
      </c>
      <c r="D7" s="345"/>
      <c r="F7" s="345" t="s">
        <v>359</v>
      </c>
      <c r="G7" s="347" t="s">
        <v>1576</v>
      </c>
      <c r="H7" s="347" t="s">
        <v>1580</v>
      </c>
      <c r="I7" s="343"/>
      <c r="U7" s="344"/>
      <c r="V7" s="344"/>
      <c r="W7" s="344"/>
      <c r="X7" s="344"/>
      <c r="Y7" s="344"/>
      <c r="Z7" s="344"/>
      <c r="AA7" s="344"/>
      <c r="AB7" s="344"/>
      <c r="AC7" s="344"/>
    </row>
    <row r="8" spans="1:31" ht="20.100000000000001" customHeight="1">
      <c r="A8" s="1219"/>
      <c r="B8" s="266" t="s">
        <v>1586</v>
      </c>
      <c r="C8" s="326">
        <v>600</v>
      </c>
      <c r="D8" s="345" t="s">
        <v>1607</v>
      </c>
      <c r="F8" s="343"/>
      <c r="G8" s="343"/>
      <c r="H8" s="343"/>
      <c r="I8" s="343"/>
      <c r="M8" s="343"/>
      <c r="V8" s="344"/>
      <c r="W8" s="344"/>
      <c r="X8" s="344"/>
      <c r="Y8" s="344"/>
      <c r="Z8" s="344"/>
      <c r="AA8" s="344"/>
      <c r="AB8" s="344"/>
      <c r="AC8" s="344"/>
      <c r="AD8" s="344"/>
    </row>
    <row r="9" spans="1:31" ht="20.100000000000001" customHeight="1">
      <c r="A9" s="1219"/>
      <c r="B9" s="266" t="s">
        <v>1590</v>
      </c>
      <c r="C9" s="326">
        <v>0.2</v>
      </c>
      <c r="D9" s="266" t="s">
        <v>1562</v>
      </c>
      <c r="F9" s="333" t="s">
        <v>1539</v>
      </c>
      <c r="G9" s="343"/>
      <c r="H9" s="343"/>
      <c r="I9" s="343"/>
      <c r="J9" s="343"/>
      <c r="K9" s="343"/>
      <c r="L9" s="343"/>
      <c r="M9" s="343"/>
      <c r="U9" s="344"/>
      <c r="V9" s="344"/>
      <c r="W9" s="344"/>
    </row>
    <row r="10" spans="1:31" ht="20.100000000000001" customHeight="1">
      <c r="A10" s="1219"/>
      <c r="B10" s="266" t="s">
        <v>1592</v>
      </c>
      <c r="C10" s="326">
        <v>0.2</v>
      </c>
      <c r="D10" s="266" t="s">
        <v>1502</v>
      </c>
      <c r="F10" s="439" t="s">
        <v>1543</v>
      </c>
      <c r="G10" s="267" t="s">
        <v>1540</v>
      </c>
      <c r="H10" s="343"/>
      <c r="I10" s="343"/>
      <c r="J10" s="343"/>
      <c r="K10" s="343"/>
      <c r="L10" s="343"/>
      <c r="M10" s="343"/>
      <c r="O10" s="343"/>
    </row>
    <row r="11" spans="1:31" ht="20.100000000000001" customHeight="1">
      <c r="A11" s="1219"/>
      <c r="B11" s="266" t="s">
        <v>1516</v>
      </c>
      <c r="C11" s="326">
        <v>15</v>
      </c>
      <c r="D11" s="266"/>
      <c r="F11" s="267">
        <v>1</v>
      </c>
      <c r="G11" s="346">
        <v>1</v>
      </c>
      <c r="H11" s="343"/>
      <c r="I11" s="343"/>
      <c r="J11" s="399" t="s">
        <v>1611</v>
      </c>
      <c r="K11" s="343"/>
      <c r="L11" s="343"/>
      <c r="M11" s="343"/>
    </row>
    <row r="12" spans="1:31" ht="20.100000000000001" customHeight="1">
      <c r="A12" s="1219"/>
      <c r="B12" s="266" t="s">
        <v>1591</v>
      </c>
      <c r="C12" s="326">
        <v>2</v>
      </c>
      <c r="D12" s="345" t="s">
        <v>1587</v>
      </c>
      <c r="F12" s="267">
        <v>2</v>
      </c>
      <c r="G12" s="346">
        <v>0.81</v>
      </c>
      <c r="H12" s="343"/>
      <c r="I12" s="343"/>
      <c r="J12" s="343"/>
      <c r="K12" s="343"/>
      <c r="L12" s="343"/>
      <c r="M12" s="343"/>
      <c r="AA12" s="343"/>
    </row>
    <row r="13" spans="1:31" ht="20.100000000000001" customHeight="1">
      <c r="A13" s="1219"/>
      <c r="B13" s="266" t="s">
        <v>1560</v>
      </c>
      <c r="C13" s="326">
        <f>2*8*350*5</f>
        <v>28000</v>
      </c>
      <c r="D13" s="266" t="s">
        <v>1517</v>
      </c>
      <c r="F13" s="267">
        <v>3</v>
      </c>
      <c r="G13" s="346">
        <v>0.72</v>
      </c>
      <c r="H13" s="343"/>
      <c r="I13" s="343"/>
      <c r="J13" s="343"/>
      <c r="K13" s="343"/>
      <c r="L13" s="343"/>
      <c r="M13" s="343"/>
      <c r="AA13" s="343"/>
    </row>
    <row r="14" spans="1:31" ht="20.100000000000001" customHeight="1">
      <c r="A14" s="1220"/>
      <c r="B14" s="266" t="s">
        <v>1564</v>
      </c>
      <c r="C14" s="441">
        <f>C13*60*C11*2*C8/10^6</f>
        <v>30240</v>
      </c>
      <c r="D14" s="266" t="s">
        <v>1565</v>
      </c>
      <c r="F14" s="267">
        <v>4</v>
      </c>
      <c r="G14" s="347">
        <v>0.66</v>
      </c>
      <c r="H14" s="343"/>
      <c r="I14" s="343"/>
      <c r="J14" s="343"/>
      <c r="K14" s="343"/>
      <c r="L14" s="343"/>
      <c r="M14" s="343"/>
      <c r="AA14" s="343"/>
    </row>
    <row r="15" spans="1:31" ht="20.100000000000001" customHeight="1">
      <c r="A15" s="1081" t="s">
        <v>1571</v>
      </c>
      <c r="B15" s="266" t="s">
        <v>1519</v>
      </c>
      <c r="C15" s="267">
        <f>2*C8/1000/(60/C11-C12)*60</f>
        <v>36</v>
      </c>
      <c r="D15" s="266"/>
      <c r="F15" s="267">
        <v>5</v>
      </c>
      <c r="G15" s="347">
        <v>0.61</v>
      </c>
      <c r="H15" s="343"/>
      <c r="I15" s="343"/>
      <c r="J15" s="343"/>
      <c r="K15" s="343"/>
      <c r="L15" s="343"/>
      <c r="M15" s="343"/>
      <c r="AA15" s="343"/>
    </row>
    <row r="16" spans="1:31" ht="20.100000000000001" customHeight="1">
      <c r="A16" s="1082"/>
      <c r="B16" s="266" t="s">
        <v>1533</v>
      </c>
      <c r="C16" s="330">
        <v>1.2</v>
      </c>
      <c r="D16" s="266" t="s">
        <v>1174</v>
      </c>
      <c r="F16" s="267" t="s">
        <v>1541</v>
      </c>
      <c r="G16" s="347">
        <v>0.6</v>
      </c>
      <c r="H16" s="343"/>
      <c r="I16" s="343"/>
      <c r="J16" s="343"/>
      <c r="K16" s="343"/>
      <c r="L16" s="343"/>
      <c r="M16" s="343"/>
      <c r="AA16" s="343"/>
    </row>
    <row r="17" spans="1:27" ht="20.100000000000001" customHeight="1">
      <c r="A17" s="1082"/>
      <c r="B17" s="266" t="s">
        <v>1534</v>
      </c>
      <c r="C17" s="326">
        <v>57</v>
      </c>
      <c r="D17" s="266" t="s">
        <v>1535</v>
      </c>
      <c r="F17" s="343"/>
      <c r="G17" s="343"/>
      <c r="H17" s="343"/>
      <c r="I17" s="343"/>
      <c r="J17" s="343"/>
      <c r="K17" s="343"/>
      <c r="L17" s="343"/>
      <c r="M17" s="343"/>
      <c r="AA17" s="343"/>
    </row>
    <row r="18" spans="1:27" ht="20.100000000000001" customHeight="1">
      <c r="A18" s="1082"/>
      <c r="B18" s="266" t="s">
        <v>1536</v>
      </c>
      <c r="C18" s="284">
        <f>IF(C17&lt;57, -0.000000029056202*C17^6 + 0.000007475998062*C17^5 - 0.000793552083205*C17^4 + 0.044508155269588*C17^3 - 1.39104856058973*C17^2 + 22.9720175059869*C17 - 156.474607500798,1)</f>
        <v>1</v>
      </c>
      <c r="D18" s="266"/>
      <c r="F18" s="343" t="s">
        <v>1573</v>
      </c>
      <c r="G18" s="343"/>
      <c r="H18" s="343"/>
      <c r="I18" s="343"/>
      <c r="J18" s="343"/>
      <c r="K18" s="343"/>
      <c r="L18" s="343"/>
      <c r="Y18" s="343"/>
    </row>
    <row r="19" spans="1:27" ht="20.100000000000001" customHeight="1">
      <c r="A19" s="1082"/>
      <c r="B19" s="266" t="s">
        <v>1567</v>
      </c>
      <c r="C19" s="331">
        <v>100</v>
      </c>
      <c r="D19" s="266" t="s">
        <v>1561</v>
      </c>
      <c r="F19" s="343"/>
      <c r="G19" s="343"/>
      <c r="H19" s="343"/>
      <c r="I19" s="343"/>
      <c r="Y19" s="343"/>
    </row>
    <row r="20" spans="1:27" ht="20.100000000000001" customHeight="1">
      <c r="A20" s="1082"/>
      <c r="B20" s="266" t="s">
        <v>1537</v>
      </c>
      <c r="C20" s="284">
        <f xml:space="preserve"> IF(C19&gt;100,-0.000015869130869 *C19^2 + 0.002670689310689 *C19 + 0.887959740259746,1)</f>
        <v>1</v>
      </c>
      <c r="D20" s="266"/>
      <c r="F20" s="343"/>
      <c r="G20" s="343"/>
      <c r="H20" s="343"/>
      <c r="I20" s="343"/>
      <c r="Y20" s="343"/>
    </row>
    <row r="21" spans="1:27" ht="20.100000000000001" customHeight="1">
      <c r="A21" s="1082"/>
      <c r="B21" s="345" t="s">
        <v>1544</v>
      </c>
      <c r="C21" s="326">
        <v>2</v>
      </c>
      <c r="D21" s="266"/>
      <c r="F21" s="343"/>
      <c r="G21" s="343"/>
      <c r="H21" s="343"/>
      <c r="I21" s="343"/>
      <c r="Y21" s="343"/>
    </row>
    <row r="22" spans="1:27" ht="20.100000000000001" customHeight="1">
      <c r="A22" s="1083"/>
      <c r="B22" s="266" t="s">
        <v>1538</v>
      </c>
      <c r="C22" s="441">
        <f>IF(C21=1,1,IF(C21=2,0.81,IF(C21=3,0.72,IF(C21=4,0.66,IF(C21=5,0.61,IF(OR(C21=6,C21&gt;6),0.6,请填滑块数))))))</f>
        <v>0.81</v>
      </c>
      <c r="D22" s="266" t="s">
        <v>1545</v>
      </c>
      <c r="F22" s="343"/>
      <c r="G22" s="343"/>
      <c r="H22" s="343"/>
      <c r="I22" s="343"/>
      <c r="Y22" s="343"/>
    </row>
    <row r="23" spans="1:27" ht="20.100000000000001" customHeight="1">
      <c r="A23" s="394" t="s">
        <v>1568</v>
      </c>
      <c r="B23" s="266" t="s">
        <v>1500</v>
      </c>
      <c r="C23" s="378">
        <f>2*C8/1000/(60/C11-C12-C9-C10)</f>
        <v>0.74999999999999989</v>
      </c>
      <c r="D23" s="266" t="str">
        <f>ROUND(C23*1000,2)&amp;" mm/s"</f>
        <v>750 mm/s</v>
      </c>
      <c r="F23" s="343"/>
      <c r="G23" s="343"/>
      <c r="H23" s="343"/>
      <c r="I23" s="343"/>
      <c r="Y23" s="343"/>
    </row>
    <row r="24" spans="1:27" ht="20.100000000000001" customHeight="1">
      <c r="A24" s="395"/>
      <c r="B24" s="266" t="s">
        <v>1588</v>
      </c>
      <c r="C24" s="378">
        <f>C23/C9</f>
        <v>3.7499999999999991</v>
      </c>
      <c r="D24" s="266"/>
      <c r="F24" s="343"/>
      <c r="G24" s="343"/>
      <c r="H24" s="343"/>
      <c r="I24" s="343"/>
      <c r="Y24" s="343"/>
    </row>
    <row r="25" spans="1:27" ht="20.100000000000001" customHeight="1">
      <c r="A25" s="394" t="s">
        <v>1569</v>
      </c>
      <c r="B25" s="334" t="s">
        <v>1615</v>
      </c>
      <c r="C25" s="326">
        <v>18</v>
      </c>
      <c r="D25" s="442" t="s">
        <v>1572</v>
      </c>
      <c r="F25" s="343"/>
      <c r="G25" s="343"/>
      <c r="H25" s="343"/>
      <c r="I25" s="343"/>
      <c r="X25" s="343"/>
    </row>
    <row r="26" spans="1:27" ht="20.100000000000001" customHeight="1">
      <c r="A26" s="395"/>
      <c r="B26" s="334" t="s">
        <v>1616</v>
      </c>
      <c r="C26" s="326">
        <v>2.5</v>
      </c>
      <c r="D26" s="443"/>
      <c r="F26" s="343"/>
      <c r="G26" s="343"/>
      <c r="H26" s="343"/>
      <c r="I26" s="343"/>
      <c r="X26" s="343"/>
    </row>
    <row r="27" spans="1:27" ht="20.100000000000001" customHeight="1">
      <c r="A27" s="395"/>
      <c r="B27" s="334" t="s">
        <v>1617</v>
      </c>
      <c r="C27" s="326">
        <v>212</v>
      </c>
      <c r="D27" s="444"/>
      <c r="F27" s="343"/>
      <c r="G27" s="343"/>
      <c r="H27" s="343"/>
      <c r="I27" s="343"/>
      <c r="X27" s="343"/>
    </row>
    <row r="28" spans="1:27" ht="20.100000000000001" customHeight="1">
      <c r="A28" s="395"/>
      <c r="B28" s="266" t="s">
        <v>1613</v>
      </c>
      <c r="C28" s="445">
        <f>IF(C4="竖直",C6*(9.8+C24)*C25/(2*C27),IF(C4="水平",C6*9.8/2+C6*C24*C25/2/C27,"请选择布局方式"))</f>
        <v>2.8761792452830188</v>
      </c>
      <c r="D28" s="447" t="s">
        <v>1598</v>
      </c>
      <c r="F28" s="343"/>
      <c r="G28" s="343"/>
      <c r="H28" s="343"/>
      <c r="I28" s="343"/>
      <c r="X28" s="343"/>
    </row>
    <row r="29" spans="1:27" ht="20.100000000000001" customHeight="1">
      <c r="A29" s="395"/>
      <c r="B29" s="266" t="s">
        <v>1614</v>
      </c>
      <c r="C29" s="445">
        <f>IF(C4="竖直",C6*(9.8+C24)*C26/(2*C27),IF(C4="水平",C6*C24*C26/2/C27,"请选择布局方式"))</f>
        <v>0.39946933962264153</v>
      </c>
      <c r="D29" s="448"/>
      <c r="F29" s="343"/>
      <c r="G29" s="343"/>
      <c r="H29" s="343"/>
      <c r="I29" s="343"/>
      <c r="X29" s="343"/>
    </row>
    <row r="30" spans="1:27" ht="20.100000000000001" customHeight="1">
      <c r="A30" s="449"/>
      <c r="B30" s="266" t="s">
        <v>1566</v>
      </c>
      <c r="C30" s="284">
        <f>MAX(C28,C29)</f>
        <v>2.8761792452830188</v>
      </c>
      <c r="D30" s="266" t="s">
        <v>1585</v>
      </c>
      <c r="F30" s="343"/>
      <c r="G30" s="343"/>
      <c r="H30" s="343"/>
      <c r="I30" s="343"/>
      <c r="X30" s="343"/>
    </row>
    <row r="31" spans="1:27" ht="20.100000000000001" customHeight="1">
      <c r="A31" s="1081" t="s">
        <v>1570</v>
      </c>
      <c r="B31" s="266" t="s">
        <v>1548</v>
      </c>
      <c r="C31" s="412">
        <f>IF(C5="滚珠",C30*C16/(C18*C20*C22)*(C14/50)^(1/3),IF(C5="滚柱",C30*C16/(C18*C20*C22)*(C14/100)^(3/10),IF(C5="免润滑",C30*C16*(C14/50)^(1/1.57),"请选择滚动体类型")))</f>
        <v>36.03430106395443</v>
      </c>
      <c r="D31" s="1090" t="s">
        <v>1552</v>
      </c>
      <c r="F31" s="343"/>
      <c r="G31" s="343"/>
      <c r="H31" s="343"/>
      <c r="I31" s="343"/>
      <c r="X31" s="343"/>
    </row>
    <row r="32" spans="1:27" ht="20.100000000000001" customHeight="1">
      <c r="A32" s="1083"/>
      <c r="B32" s="345" t="s">
        <v>1550</v>
      </c>
      <c r="C32" s="432"/>
      <c r="D32" s="1015"/>
      <c r="F32" s="343"/>
      <c r="G32" s="343"/>
      <c r="H32" s="343"/>
      <c r="I32" s="343"/>
      <c r="X32" s="343"/>
    </row>
    <row r="33" spans="1:29" ht="20.100000000000001" customHeight="1">
      <c r="F33" s="343"/>
      <c r="G33" s="343"/>
      <c r="H33" s="343"/>
      <c r="I33" s="343"/>
      <c r="Y33" s="343"/>
    </row>
    <row r="34" spans="1:29" ht="20.100000000000001" customHeight="1">
      <c r="A34" s="1340" t="s">
        <v>1612</v>
      </c>
      <c r="B34" s="1224"/>
      <c r="C34" s="1224"/>
      <c r="D34" s="1341"/>
      <c r="F34" s="343"/>
      <c r="G34" s="343"/>
      <c r="H34" s="343"/>
      <c r="I34" s="343"/>
      <c r="AC34" s="343"/>
    </row>
    <row r="35" spans="1:29" ht="20.100000000000001" customHeight="1">
      <c r="A35" s="1342"/>
      <c r="B35" s="1032"/>
      <c r="C35" s="1032"/>
      <c r="D35" s="1343"/>
      <c r="F35" s="343"/>
      <c r="G35" s="343"/>
      <c r="H35" s="343"/>
      <c r="I35" s="343"/>
      <c r="AC35" s="343"/>
    </row>
    <row r="36" spans="1:29" ht="20.100000000000001" customHeight="1">
      <c r="A36" s="1342"/>
      <c r="B36" s="1032"/>
      <c r="C36" s="1032"/>
      <c r="D36" s="1343"/>
      <c r="F36" s="343"/>
      <c r="G36" s="343"/>
      <c r="H36" s="343"/>
      <c r="I36" s="343"/>
      <c r="AC36" s="343"/>
    </row>
    <row r="37" spans="1:29" ht="20.100000000000001" customHeight="1">
      <c r="A37" s="1342"/>
      <c r="B37" s="1032"/>
      <c r="C37" s="1032"/>
      <c r="D37" s="1343"/>
      <c r="F37" s="343"/>
      <c r="G37" s="343"/>
      <c r="H37" s="343"/>
      <c r="I37" s="343"/>
      <c r="AC37" s="343"/>
    </row>
    <row r="38" spans="1:29" ht="20.100000000000001" customHeight="1">
      <c r="A38" s="1342"/>
      <c r="B38" s="1032"/>
      <c r="C38" s="1032"/>
      <c r="D38" s="1343"/>
      <c r="F38" s="343"/>
      <c r="G38" s="343"/>
      <c r="H38" s="343"/>
      <c r="I38" s="343"/>
      <c r="AC38" s="343"/>
    </row>
    <row r="39" spans="1:29" ht="20.100000000000001" customHeight="1">
      <c r="A39" s="1342"/>
      <c r="B39" s="1032"/>
      <c r="C39" s="1032"/>
      <c r="D39" s="1343"/>
      <c r="F39" s="343"/>
      <c r="G39" s="343"/>
      <c r="H39" s="343"/>
      <c r="I39" s="343"/>
      <c r="AC39" s="343"/>
    </row>
    <row r="40" spans="1:29" ht="20.100000000000001" customHeight="1">
      <c r="A40" s="1342"/>
      <c r="B40" s="1032"/>
      <c r="C40" s="1032"/>
      <c r="D40" s="1343"/>
      <c r="F40" s="343"/>
      <c r="G40" s="343"/>
      <c r="H40" s="343"/>
      <c r="I40" s="343"/>
      <c r="X40" s="343"/>
      <c r="AC40" s="343"/>
    </row>
    <row r="41" spans="1:29" ht="20.100000000000001" customHeight="1">
      <c r="A41" s="1342"/>
      <c r="B41" s="1032"/>
      <c r="C41" s="1032"/>
      <c r="D41" s="1343"/>
      <c r="F41" s="343"/>
      <c r="G41" s="343"/>
      <c r="H41" s="343"/>
      <c r="I41" s="343"/>
      <c r="X41" s="343"/>
      <c r="AC41" s="343"/>
    </row>
    <row r="42" spans="1:29" ht="20.100000000000001" customHeight="1">
      <c r="A42" s="1344"/>
      <c r="B42" s="1345"/>
      <c r="C42" s="1345"/>
      <c r="D42" s="1346"/>
      <c r="F42" s="343"/>
      <c r="G42" s="343"/>
      <c r="H42" s="343"/>
      <c r="I42" s="343"/>
      <c r="X42" s="343"/>
      <c r="AC42" s="343"/>
    </row>
    <row r="43" spans="1:29" ht="20.100000000000001" customHeight="1">
      <c r="A43" s="1282" t="s">
        <v>1620</v>
      </c>
      <c r="B43" s="1283"/>
      <c r="C43" s="1283"/>
      <c r="D43" s="1284"/>
      <c r="F43" s="343"/>
      <c r="G43" s="343"/>
      <c r="H43" s="343"/>
      <c r="I43" s="343"/>
      <c r="AC43" s="343"/>
    </row>
    <row r="44" spans="1:29" ht="20.100000000000001" customHeight="1">
      <c r="A44" s="1285"/>
      <c r="B44" s="1272"/>
      <c r="C44" s="1272"/>
      <c r="D44" s="1286"/>
      <c r="F44" s="343"/>
      <c r="G44" s="343"/>
      <c r="H44" s="343"/>
      <c r="I44" s="343"/>
      <c r="AC44" s="343"/>
    </row>
    <row r="45" spans="1:29" ht="20.100000000000001" customHeight="1">
      <c r="A45" s="1285"/>
      <c r="B45" s="1272"/>
      <c r="C45" s="1272"/>
      <c r="D45" s="1286"/>
      <c r="F45" s="343"/>
      <c r="G45" s="343"/>
      <c r="H45" s="343"/>
      <c r="I45" s="343"/>
      <c r="AC45" s="343"/>
    </row>
    <row r="46" spans="1:29" ht="20.100000000000001" customHeight="1">
      <c r="A46" s="1287"/>
      <c r="B46" s="1273"/>
      <c r="C46" s="1273"/>
      <c r="D46" s="1288"/>
      <c r="F46" s="343"/>
      <c r="G46" s="343"/>
      <c r="H46" s="343"/>
      <c r="I46" s="343"/>
    </row>
    <row r="47" spans="1:29" ht="20.100000000000001" customHeight="1">
      <c r="A47" s="333" t="s">
        <v>1555</v>
      </c>
      <c r="F47" s="343"/>
      <c r="G47" s="343"/>
      <c r="H47" s="343"/>
      <c r="I47" s="343"/>
    </row>
    <row r="48" spans="1:29" ht="20.100000000000001" customHeight="1">
      <c r="F48" s="343"/>
      <c r="G48" s="343"/>
      <c r="H48" s="343"/>
      <c r="I48" s="343"/>
    </row>
    <row r="49" spans="1:29" ht="20.100000000000001" customHeight="1">
      <c r="F49" s="343"/>
      <c r="G49" s="343"/>
      <c r="H49" s="343"/>
      <c r="I49" s="343"/>
      <c r="AC49" s="343"/>
    </row>
    <row r="50" spans="1:29" ht="20.100000000000001" customHeight="1">
      <c r="F50" s="343"/>
      <c r="G50" s="343"/>
      <c r="H50" s="343"/>
      <c r="I50" s="343"/>
      <c r="AC50" s="343"/>
    </row>
    <row r="51" spans="1:29" ht="20.100000000000001" customHeight="1">
      <c r="F51" s="262" t="s">
        <v>1582</v>
      </c>
      <c r="G51" s="368"/>
      <c r="AC51" s="343"/>
    </row>
    <row r="52" spans="1:29" ht="20.100000000000001" customHeight="1">
      <c r="G52" s="368"/>
      <c r="AC52" s="343"/>
    </row>
    <row r="53" spans="1:29" ht="20.100000000000001" customHeight="1">
      <c r="G53" s="368"/>
      <c r="M53" s="343"/>
      <c r="AC53" s="343"/>
    </row>
    <row r="54" spans="1:29" ht="20.100000000000001" customHeight="1">
      <c r="F54" s="343"/>
      <c r="G54" s="343"/>
      <c r="H54" s="343"/>
      <c r="I54" s="343"/>
      <c r="J54" s="343"/>
      <c r="K54" s="343"/>
      <c r="L54" s="343"/>
      <c r="M54" s="343"/>
      <c r="AC54" s="343"/>
    </row>
    <row r="55" spans="1:29" ht="20.100000000000001" customHeight="1">
      <c r="F55" s="343"/>
      <c r="G55" s="343"/>
      <c r="H55" s="343"/>
      <c r="I55" s="343"/>
      <c r="J55" s="343"/>
      <c r="K55" s="343"/>
      <c r="L55" s="343"/>
      <c r="M55" s="343"/>
      <c r="AC55" s="343"/>
    </row>
    <row r="56" spans="1:29" ht="20.100000000000001" customHeight="1">
      <c r="F56" s="343"/>
      <c r="G56" s="343"/>
      <c r="H56" s="343"/>
      <c r="I56" s="343"/>
      <c r="J56" s="343"/>
      <c r="K56" s="343"/>
      <c r="L56" s="343"/>
      <c r="M56" s="343"/>
      <c r="AC56" s="343"/>
    </row>
    <row r="57" spans="1:29" ht="20.100000000000001" customHeight="1">
      <c r="F57" s="343"/>
      <c r="G57" s="343"/>
      <c r="H57" s="343"/>
      <c r="I57" s="343"/>
      <c r="J57" s="343"/>
      <c r="K57" s="343"/>
      <c r="L57" s="343"/>
      <c r="M57" s="343"/>
      <c r="AC57" s="343"/>
    </row>
    <row r="58" spans="1:29" ht="20.100000000000001" customHeight="1">
      <c r="A58" s="262" t="s">
        <v>1584</v>
      </c>
      <c r="F58" s="343"/>
      <c r="G58" s="343"/>
      <c r="H58" s="343"/>
      <c r="I58" s="343"/>
      <c r="J58" s="343"/>
      <c r="K58" s="343"/>
      <c r="L58" s="343"/>
      <c r="M58" s="343"/>
      <c r="AC58" s="343"/>
    </row>
    <row r="59" spans="1:29" ht="20.100000000000001" customHeight="1">
      <c r="F59" s="343"/>
      <c r="G59" s="343"/>
      <c r="H59" s="343"/>
      <c r="I59" s="343"/>
      <c r="J59" s="349"/>
      <c r="K59" s="343"/>
      <c r="L59" s="343"/>
      <c r="M59" s="343"/>
      <c r="AC59" s="343"/>
    </row>
    <row r="60" spans="1:29" ht="20.100000000000001" customHeight="1">
      <c r="F60" s="343"/>
      <c r="G60" s="343"/>
      <c r="H60" s="343"/>
      <c r="I60" s="343"/>
      <c r="J60" s="349"/>
      <c r="K60" s="343"/>
      <c r="L60" s="343"/>
      <c r="M60" s="343"/>
      <c r="AC60" s="343"/>
    </row>
    <row r="61" spans="1:29" ht="20.100000000000001" customHeight="1">
      <c r="F61" s="343"/>
      <c r="G61" s="343"/>
      <c r="H61" s="343"/>
      <c r="I61" s="343"/>
      <c r="J61" s="349"/>
      <c r="K61" s="343"/>
      <c r="L61" s="343"/>
      <c r="M61" s="343"/>
      <c r="AC61" s="343"/>
    </row>
    <row r="62" spans="1:29" ht="20.100000000000001" customHeight="1">
      <c r="I62" s="343"/>
      <c r="J62" s="349"/>
      <c r="K62" s="343"/>
      <c r="L62" s="343"/>
      <c r="M62" s="343"/>
      <c r="AC62" s="343"/>
    </row>
    <row r="63" spans="1:29" ht="20.100000000000001" customHeight="1">
      <c r="A63" s="262" t="s">
        <v>1583</v>
      </c>
      <c r="I63" s="349"/>
      <c r="J63" s="349"/>
      <c r="K63" s="343"/>
      <c r="L63" s="343"/>
      <c r="M63" s="343"/>
      <c r="AC63" s="343"/>
    </row>
    <row r="64" spans="1:29" ht="20.100000000000001" customHeight="1">
      <c r="J64" s="343"/>
      <c r="K64" s="343"/>
      <c r="L64" s="343"/>
      <c r="M64" s="343"/>
      <c r="AC64" s="343"/>
    </row>
    <row r="65" spans="6:29" ht="20.100000000000001" customHeight="1">
      <c r="J65" s="343"/>
      <c r="K65" s="343"/>
      <c r="L65" s="343"/>
      <c r="M65" s="343"/>
      <c r="AC65" s="343"/>
    </row>
    <row r="66" spans="6:29" ht="20.100000000000001" customHeight="1">
      <c r="F66" s="343"/>
      <c r="G66" s="343"/>
      <c r="H66" s="343"/>
      <c r="I66" s="343"/>
      <c r="J66" s="343"/>
      <c r="K66" s="343"/>
      <c r="L66" s="343"/>
      <c r="M66" s="343"/>
      <c r="AC66" s="343"/>
    </row>
    <row r="67" spans="6:29" ht="20.100000000000001" customHeight="1">
      <c r="F67" s="343"/>
      <c r="G67" s="343"/>
      <c r="H67" s="343"/>
      <c r="I67" s="343"/>
      <c r="J67" s="343"/>
      <c r="K67" s="343"/>
      <c r="L67" s="343"/>
      <c r="M67" s="343"/>
    </row>
    <row r="68" spans="6:29" ht="20.100000000000001" customHeight="1">
      <c r="F68" s="343"/>
      <c r="G68" s="343"/>
      <c r="H68" s="343"/>
      <c r="I68" s="343"/>
      <c r="J68" s="343"/>
      <c r="K68" s="343"/>
      <c r="L68" s="343"/>
      <c r="M68" s="343"/>
    </row>
    <row r="69" spans="6:29" ht="20.100000000000001" customHeight="1">
      <c r="F69" s="343"/>
      <c r="G69" s="343"/>
      <c r="H69" s="343"/>
      <c r="I69" s="343"/>
      <c r="J69" s="343"/>
      <c r="K69" s="343"/>
      <c r="L69" s="343"/>
      <c r="M69" s="343"/>
    </row>
    <row r="70" spans="6:29" ht="20.100000000000001" customHeight="1">
      <c r="F70" s="343"/>
      <c r="G70" s="343"/>
      <c r="H70" s="343"/>
      <c r="I70" s="343"/>
      <c r="J70" s="343"/>
      <c r="K70" s="343"/>
      <c r="L70" s="343"/>
      <c r="M70" s="343"/>
    </row>
    <row r="71" spans="6:29" ht="20.100000000000001" customHeight="1">
      <c r="J71" s="343"/>
      <c r="K71" s="343"/>
      <c r="L71" s="343"/>
      <c r="M71" s="343"/>
    </row>
    <row r="72" spans="6:29" ht="20.100000000000001" customHeight="1">
      <c r="J72" s="343"/>
      <c r="K72" s="343"/>
      <c r="L72" s="343"/>
      <c r="M72" s="343"/>
    </row>
    <row r="73" spans="6:29" ht="20.100000000000001" customHeight="1">
      <c r="J73" s="343"/>
      <c r="K73" s="343"/>
      <c r="L73" s="343"/>
    </row>
    <row r="74" spans="6:29" ht="20.100000000000001" customHeight="1">
      <c r="J74" s="343"/>
      <c r="K74" s="343"/>
    </row>
    <row r="75" spans="6:29" ht="20.100000000000001" customHeight="1">
      <c r="J75" s="343"/>
      <c r="K75" s="343"/>
    </row>
    <row r="76" spans="6:29" ht="20.100000000000001" customHeight="1">
      <c r="J76" s="343"/>
      <c r="K76" s="343"/>
    </row>
    <row r="77" spans="6:29" ht="20.100000000000001" customHeight="1">
      <c r="K77" s="343"/>
    </row>
  </sheetData>
  <sheetProtection password="828E" sheet="1" objects="1" scenarios="1"/>
  <dataConsolidate/>
  <mergeCells count="7">
    <mergeCell ref="A34:D42"/>
    <mergeCell ref="A43:D46"/>
    <mergeCell ref="A1:D1"/>
    <mergeCell ref="A15:A22"/>
    <mergeCell ref="A31:A32"/>
    <mergeCell ref="D31:D32"/>
    <mergeCell ref="A4:A14"/>
  </mergeCells>
  <phoneticPr fontId="4" type="noConversion"/>
  <dataValidations count="2">
    <dataValidation type="list" allowBlank="1" showInputMessage="1" showErrorMessage="1" prompt="请选择" sqref="C4">
      <formula1>"水平,竖直"</formula1>
    </dataValidation>
    <dataValidation type="list" allowBlank="1" showInputMessage="1" showErrorMessage="1" prompt="请选择" sqref="C5">
      <formula1>"滚珠,滚柱,免润滑"</formula1>
    </dataValidation>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sheetPr codeName="Sheet28"/>
  <dimension ref="A1:AE77"/>
  <sheetViews>
    <sheetView workbookViewId="0">
      <selection activeCell="H11" sqref="H11"/>
    </sheetView>
  </sheetViews>
  <sheetFormatPr defaultColWidth="15.625" defaultRowHeight="20.100000000000001" customHeight="1"/>
  <cols>
    <col min="1" max="1" width="13.375" style="262" customWidth="1"/>
    <col min="2" max="2" width="20" style="262" customWidth="1"/>
    <col min="3" max="3" width="13.875" style="263" customWidth="1"/>
    <col min="4" max="4" width="17.5" style="262" customWidth="1"/>
    <col min="5" max="5" width="5" style="262" customWidth="1"/>
    <col min="6" max="6" width="14.375" style="262" customWidth="1"/>
    <col min="7" max="7" width="13.25" style="262" customWidth="1"/>
    <col min="8" max="10" width="10.625" style="262" customWidth="1"/>
    <col min="11" max="11" width="8.875" style="262" customWidth="1"/>
    <col min="12" max="12" width="7.62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ht="21.95" customHeight="1">
      <c r="A1" s="1332" t="s">
        <v>1621</v>
      </c>
      <c r="B1" s="1333"/>
      <c r="C1" s="1333"/>
      <c r="D1" s="1333"/>
      <c r="F1" s="399"/>
      <c r="G1" s="343"/>
      <c r="H1" s="343"/>
    </row>
    <row r="2" spans="1:31" ht="20.100000000000001" customHeight="1">
      <c r="A2" s="333" t="s">
        <v>1559</v>
      </c>
      <c r="F2" s="399" t="s">
        <v>1520</v>
      </c>
      <c r="G2" s="343"/>
      <c r="H2" s="343"/>
      <c r="I2" s="343"/>
      <c r="J2" s="333" t="s">
        <v>1610</v>
      </c>
      <c r="R2" s="344"/>
      <c r="S2" s="344"/>
      <c r="T2" s="344"/>
      <c r="V2" s="342"/>
      <c r="W2" s="342"/>
      <c r="X2" s="342"/>
      <c r="Y2" s="342"/>
      <c r="Z2" s="342"/>
      <c r="AA2" s="342"/>
      <c r="AB2" s="342"/>
      <c r="AC2" s="342"/>
      <c r="AD2" s="342"/>
    </row>
    <row r="3" spans="1:31" ht="20.100000000000001" customHeight="1">
      <c r="A3" s="266" t="s">
        <v>753</v>
      </c>
      <c r="B3" s="266" t="s">
        <v>754</v>
      </c>
      <c r="C3" s="267" t="s">
        <v>755</v>
      </c>
      <c r="D3" s="266" t="s">
        <v>762</v>
      </c>
      <c r="F3" s="345" t="s">
        <v>1581</v>
      </c>
      <c r="G3" s="266" t="s">
        <v>1526</v>
      </c>
      <c r="H3" s="266" t="s">
        <v>1522</v>
      </c>
      <c r="I3" s="343"/>
      <c r="T3" s="344"/>
      <c r="V3" s="342"/>
      <c r="W3" s="342"/>
      <c r="X3" s="342"/>
      <c r="Y3" s="342"/>
      <c r="Z3" s="342"/>
      <c r="AA3" s="342"/>
      <c r="AB3" s="342"/>
      <c r="AC3" s="342"/>
      <c r="AD3" s="342"/>
    </row>
    <row r="4" spans="1:31" ht="20.100000000000001" customHeight="1">
      <c r="A4" s="1218" t="s">
        <v>756</v>
      </c>
      <c r="B4" s="345" t="s">
        <v>1603</v>
      </c>
      <c r="C4" s="369" t="s">
        <v>1341</v>
      </c>
      <c r="D4" s="266" t="s">
        <v>1545</v>
      </c>
      <c r="F4" s="345" t="s">
        <v>1574</v>
      </c>
      <c r="G4" s="346" t="s">
        <v>1527</v>
      </c>
      <c r="H4" s="346" t="s">
        <v>1577</v>
      </c>
      <c r="I4" s="343"/>
      <c r="T4" s="344"/>
      <c r="W4" s="343"/>
      <c r="X4" s="343"/>
      <c r="Y4" s="343"/>
      <c r="Z4" s="343"/>
      <c r="AA4" s="343"/>
      <c r="AB4" s="343"/>
      <c r="AC4" s="343"/>
      <c r="AD4" s="343"/>
    </row>
    <row r="5" spans="1:31" ht="20.100000000000001" customHeight="1">
      <c r="A5" s="1219"/>
      <c r="B5" s="345" t="s">
        <v>1546</v>
      </c>
      <c r="C5" s="369" t="s">
        <v>1547</v>
      </c>
      <c r="D5" s="266"/>
      <c r="F5" s="345" t="s">
        <v>357</v>
      </c>
      <c r="G5" s="346" t="s">
        <v>1528</v>
      </c>
      <c r="H5" s="346" t="s">
        <v>1096</v>
      </c>
      <c r="I5" s="343"/>
      <c r="T5" s="344"/>
      <c r="W5" s="344"/>
      <c r="X5" s="344"/>
      <c r="Y5" s="344"/>
      <c r="Z5" s="344"/>
      <c r="AA5" s="344"/>
      <c r="AB5" s="344"/>
      <c r="AC5" s="344"/>
      <c r="AD5" s="344"/>
      <c r="AE5" s="343"/>
    </row>
    <row r="6" spans="1:31" ht="20.100000000000001" customHeight="1">
      <c r="A6" s="1219"/>
      <c r="B6" s="266" t="s">
        <v>1456</v>
      </c>
      <c r="C6" s="326">
        <v>5</v>
      </c>
      <c r="D6" s="266"/>
      <c r="F6" s="345" t="s">
        <v>663</v>
      </c>
      <c r="G6" s="347" t="s">
        <v>1575</v>
      </c>
      <c r="H6" s="347" t="s">
        <v>1531</v>
      </c>
      <c r="I6" s="343"/>
      <c r="T6" s="344"/>
      <c r="W6" s="344"/>
      <c r="X6" s="344"/>
      <c r="Y6" s="344"/>
      <c r="Z6" s="344"/>
      <c r="AE6" s="344"/>
    </row>
    <row r="7" spans="1:31" ht="20.100000000000001" customHeight="1">
      <c r="A7" s="1219"/>
      <c r="B7" s="266" t="s">
        <v>1558</v>
      </c>
      <c r="C7" s="326">
        <v>2</v>
      </c>
      <c r="D7" s="345"/>
      <c r="F7" s="345" t="s">
        <v>359</v>
      </c>
      <c r="G7" s="347" t="s">
        <v>1576</v>
      </c>
      <c r="H7" s="347" t="s">
        <v>1580</v>
      </c>
      <c r="I7" s="343"/>
      <c r="U7" s="344"/>
      <c r="V7" s="344"/>
      <c r="W7" s="344"/>
      <c r="X7" s="344"/>
      <c r="Y7" s="344"/>
      <c r="Z7" s="344"/>
      <c r="AA7" s="344"/>
      <c r="AB7" s="344"/>
      <c r="AC7" s="344"/>
    </row>
    <row r="8" spans="1:31" ht="20.100000000000001" customHeight="1">
      <c r="A8" s="1219"/>
      <c r="B8" s="266" t="s">
        <v>1586</v>
      </c>
      <c r="C8" s="326">
        <v>600</v>
      </c>
      <c r="D8" s="345" t="s">
        <v>1607</v>
      </c>
      <c r="F8" s="343"/>
      <c r="G8" s="343"/>
      <c r="H8" s="343"/>
      <c r="I8" s="343"/>
      <c r="M8" s="343"/>
      <c r="V8" s="344"/>
      <c r="W8" s="344"/>
      <c r="X8" s="344"/>
      <c r="Y8" s="344"/>
      <c r="Z8" s="344"/>
      <c r="AA8" s="344"/>
      <c r="AB8" s="344"/>
      <c r="AC8" s="344"/>
      <c r="AD8" s="344"/>
    </row>
    <row r="9" spans="1:31" ht="20.100000000000001" customHeight="1">
      <c r="A9" s="1219"/>
      <c r="B9" s="266" t="s">
        <v>1590</v>
      </c>
      <c r="C9" s="326">
        <v>0.2</v>
      </c>
      <c r="D9" s="266" t="s">
        <v>1562</v>
      </c>
      <c r="F9" s="333" t="s">
        <v>1539</v>
      </c>
      <c r="G9" s="343"/>
      <c r="H9" s="343"/>
      <c r="I9" s="343"/>
      <c r="J9" s="343"/>
      <c r="K9" s="343"/>
      <c r="L9" s="343"/>
      <c r="M9" s="343"/>
      <c r="U9" s="344"/>
      <c r="V9" s="344"/>
      <c r="W9" s="344"/>
    </row>
    <row r="10" spans="1:31" ht="20.100000000000001" customHeight="1">
      <c r="A10" s="1219"/>
      <c r="B10" s="266" t="s">
        <v>1592</v>
      </c>
      <c r="C10" s="326">
        <v>0.2</v>
      </c>
      <c r="D10" s="266" t="s">
        <v>1502</v>
      </c>
      <c r="F10" s="439" t="s">
        <v>1543</v>
      </c>
      <c r="G10" s="267" t="s">
        <v>1540</v>
      </c>
      <c r="H10" s="343"/>
      <c r="I10" s="343"/>
      <c r="J10" s="343"/>
      <c r="K10" s="343"/>
      <c r="L10" s="343"/>
      <c r="M10" s="343"/>
      <c r="O10" s="343"/>
    </row>
    <row r="11" spans="1:31" ht="20.100000000000001" customHeight="1">
      <c r="A11" s="1219"/>
      <c r="B11" s="266" t="s">
        <v>1516</v>
      </c>
      <c r="C11" s="326">
        <v>15</v>
      </c>
      <c r="D11" s="266"/>
      <c r="F11" s="267">
        <v>1</v>
      </c>
      <c r="G11" s="346">
        <v>1</v>
      </c>
      <c r="H11" s="343"/>
      <c r="I11" s="343"/>
      <c r="J11" s="399" t="s">
        <v>1611</v>
      </c>
      <c r="K11" s="343"/>
      <c r="L11" s="343"/>
      <c r="M11" s="343"/>
    </row>
    <row r="12" spans="1:31" ht="20.100000000000001" customHeight="1">
      <c r="A12" s="1219"/>
      <c r="B12" s="266" t="s">
        <v>1591</v>
      </c>
      <c r="C12" s="326">
        <v>2</v>
      </c>
      <c r="D12" s="345" t="s">
        <v>1587</v>
      </c>
      <c r="F12" s="267">
        <v>2</v>
      </c>
      <c r="G12" s="346">
        <v>0.81</v>
      </c>
      <c r="H12" s="343"/>
      <c r="I12" s="343"/>
      <c r="J12" s="343"/>
      <c r="K12" s="343"/>
      <c r="L12" s="343"/>
      <c r="M12" s="343"/>
      <c r="AA12" s="343"/>
    </row>
    <row r="13" spans="1:31" ht="20.100000000000001" customHeight="1">
      <c r="A13" s="1219"/>
      <c r="B13" s="266" t="s">
        <v>1560</v>
      </c>
      <c r="C13" s="326">
        <f>2*8*350*5</f>
        <v>28000</v>
      </c>
      <c r="D13" s="266" t="s">
        <v>1517</v>
      </c>
      <c r="F13" s="267">
        <v>3</v>
      </c>
      <c r="G13" s="346">
        <v>0.72</v>
      </c>
      <c r="H13" s="343"/>
      <c r="I13" s="343"/>
      <c r="J13" s="343"/>
      <c r="K13" s="343"/>
      <c r="L13" s="343"/>
      <c r="M13" s="343"/>
      <c r="AA13" s="343"/>
    </row>
    <row r="14" spans="1:31" ht="20.100000000000001" customHeight="1">
      <c r="A14" s="1220"/>
      <c r="B14" s="266" t="s">
        <v>1564</v>
      </c>
      <c r="C14" s="441">
        <f>C13*60*C11*2*C8/10^6</f>
        <v>30240</v>
      </c>
      <c r="D14" s="266" t="s">
        <v>1565</v>
      </c>
      <c r="F14" s="267">
        <v>4</v>
      </c>
      <c r="G14" s="347">
        <v>0.66</v>
      </c>
      <c r="H14" s="343"/>
      <c r="I14" s="343"/>
      <c r="J14" s="343"/>
      <c r="K14" s="343"/>
      <c r="L14" s="343"/>
      <c r="M14" s="343"/>
      <c r="AA14" s="343"/>
    </row>
    <row r="15" spans="1:31" ht="20.100000000000001" customHeight="1">
      <c r="A15" s="1081" t="s">
        <v>1571</v>
      </c>
      <c r="B15" s="266" t="s">
        <v>1519</v>
      </c>
      <c r="C15" s="267">
        <f>2*C8/1000/(60/C11-C12)*60</f>
        <v>36</v>
      </c>
      <c r="D15" s="266"/>
      <c r="F15" s="267">
        <v>5</v>
      </c>
      <c r="G15" s="347">
        <v>0.61</v>
      </c>
      <c r="H15" s="343"/>
      <c r="I15" s="343"/>
      <c r="J15" s="343"/>
      <c r="K15" s="343"/>
      <c r="L15" s="343"/>
      <c r="M15" s="343"/>
      <c r="AA15" s="343"/>
    </row>
    <row r="16" spans="1:31" ht="20.100000000000001" customHeight="1">
      <c r="A16" s="1082"/>
      <c r="B16" s="266" t="s">
        <v>1533</v>
      </c>
      <c r="C16" s="330">
        <v>1.2</v>
      </c>
      <c r="D16" s="266" t="s">
        <v>1174</v>
      </c>
      <c r="F16" s="267" t="s">
        <v>1541</v>
      </c>
      <c r="G16" s="347">
        <v>0.6</v>
      </c>
      <c r="H16" s="343"/>
      <c r="I16" s="343"/>
      <c r="J16" s="343"/>
      <c r="K16" s="343"/>
      <c r="L16" s="343"/>
      <c r="M16" s="343"/>
      <c r="AA16" s="343"/>
    </row>
    <row r="17" spans="1:27" ht="20.100000000000001" customHeight="1">
      <c r="A17" s="1082"/>
      <c r="B17" s="266" t="s">
        <v>1534</v>
      </c>
      <c r="C17" s="326">
        <v>57</v>
      </c>
      <c r="D17" s="266" t="s">
        <v>1535</v>
      </c>
      <c r="F17" s="343"/>
      <c r="G17" s="343"/>
      <c r="H17" s="343"/>
      <c r="I17" s="343"/>
      <c r="J17" s="343"/>
      <c r="K17" s="343"/>
      <c r="L17" s="343"/>
      <c r="M17" s="343"/>
      <c r="AA17" s="343"/>
    </row>
    <row r="18" spans="1:27" ht="20.100000000000001" customHeight="1">
      <c r="A18" s="1082"/>
      <c r="B18" s="266" t="s">
        <v>1536</v>
      </c>
      <c r="C18" s="284">
        <f>IF(C17&lt;57, -0.000000029056202*C17^6 + 0.000007475998062*C17^5 - 0.000793552083205*C17^4 + 0.044508155269588*C17^3 - 1.39104856058973*C17^2 + 22.9720175059869*C17 - 156.474607500798,1)</f>
        <v>1</v>
      </c>
      <c r="D18" s="266"/>
      <c r="F18" s="343" t="s">
        <v>1573</v>
      </c>
      <c r="G18" s="343"/>
      <c r="H18" s="343"/>
      <c r="I18" s="343"/>
      <c r="J18" s="343"/>
      <c r="K18" s="343"/>
      <c r="L18" s="343"/>
      <c r="Y18" s="343"/>
    </row>
    <row r="19" spans="1:27" ht="20.100000000000001" customHeight="1">
      <c r="A19" s="1082"/>
      <c r="B19" s="266" t="s">
        <v>1542</v>
      </c>
      <c r="C19" s="331">
        <v>100</v>
      </c>
      <c r="D19" s="266" t="s">
        <v>1561</v>
      </c>
      <c r="F19" s="343"/>
      <c r="G19" s="343"/>
      <c r="H19" s="343"/>
      <c r="I19" s="343"/>
      <c r="Y19" s="343"/>
    </row>
    <row r="20" spans="1:27" ht="20.100000000000001" customHeight="1">
      <c r="A20" s="1082"/>
      <c r="B20" s="266" t="s">
        <v>1537</v>
      </c>
      <c r="C20" s="284">
        <f xml:space="preserve"> IF(C19&gt;100,-0.000015869130869 *C19^2 + 0.002670689310689 *C19 + 0.887959740259746,1)</f>
        <v>1</v>
      </c>
      <c r="D20" s="266"/>
      <c r="F20" s="343"/>
      <c r="G20" s="343"/>
      <c r="H20" s="343"/>
      <c r="I20" s="343"/>
      <c r="Y20" s="343"/>
    </row>
    <row r="21" spans="1:27" ht="20.100000000000001" customHeight="1">
      <c r="A21" s="1082"/>
      <c r="B21" s="345" t="s">
        <v>1544</v>
      </c>
      <c r="C21" s="326">
        <v>2</v>
      </c>
      <c r="D21" s="266"/>
      <c r="F21" s="343"/>
      <c r="G21" s="343"/>
      <c r="H21" s="343"/>
      <c r="I21" s="343"/>
      <c r="Y21" s="343"/>
    </row>
    <row r="22" spans="1:27" ht="20.100000000000001" customHeight="1">
      <c r="A22" s="1083"/>
      <c r="B22" s="266" t="s">
        <v>1538</v>
      </c>
      <c r="C22" s="441">
        <f>IF(C21=1,1,IF(C21=2,0.81,IF(C21=3,0.72,IF(C21=4,0.66,IF(C21=5,0.61,IF(OR(C21=6,C21&gt;6),0.6,请填滑块数))))))</f>
        <v>0.81</v>
      </c>
      <c r="D22" s="266" t="s">
        <v>1545</v>
      </c>
      <c r="F22" s="343"/>
      <c r="G22" s="343"/>
      <c r="H22" s="343"/>
      <c r="I22" s="343"/>
      <c r="Y22" s="343"/>
    </row>
    <row r="23" spans="1:27" ht="20.100000000000001" customHeight="1">
      <c r="A23" s="394" t="s">
        <v>1568</v>
      </c>
      <c r="B23" s="266" t="s">
        <v>1500</v>
      </c>
      <c r="C23" s="378">
        <f>2*C8/1000/(60/C11-C12-C9-C10)</f>
        <v>0.74999999999999989</v>
      </c>
      <c r="D23" s="266" t="str">
        <f>ROUND(C23*1000,2)&amp;" mm/s"</f>
        <v>750 mm/s</v>
      </c>
      <c r="F23" s="343"/>
      <c r="G23" s="343"/>
      <c r="H23" s="343"/>
      <c r="I23" s="343"/>
      <c r="Y23" s="343"/>
    </row>
    <row r="24" spans="1:27" ht="20.100000000000001" customHeight="1">
      <c r="A24" s="395"/>
      <c r="B24" s="266" t="s">
        <v>1588</v>
      </c>
      <c r="C24" s="378">
        <f>C23/C9</f>
        <v>3.7499999999999991</v>
      </c>
      <c r="D24" s="266"/>
      <c r="F24" s="343"/>
      <c r="G24" s="343"/>
      <c r="H24" s="343"/>
      <c r="I24" s="343"/>
      <c r="Y24" s="343"/>
    </row>
    <row r="25" spans="1:27" ht="20.100000000000001" customHeight="1">
      <c r="A25" s="394" t="s">
        <v>1569</v>
      </c>
      <c r="B25" s="334" t="s">
        <v>1615</v>
      </c>
      <c r="C25" s="326">
        <v>18</v>
      </c>
      <c r="D25" s="442" t="s">
        <v>1572</v>
      </c>
      <c r="F25" s="343"/>
      <c r="G25" s="343"/>
      <c r="H25" s="343"/>
      <c r="I25" s="343"/>
      <c r="X25" s="343"/>
    </row>
    <row r="26" spans="1:27" ht="20.100000000000001" customHeight="1">
      <c r="A26" s="395"/>
      <c r="B26" s="334" t="s">
        <v>1616</v>
      </c>
      <c r="C26" s="326">
        <v>2.5</v>
      </c>
      <c r="D26" s="443"/>
      <c r="F26" s="343"/>
      <c r="G26" s="343"/>
      <c r="H26" s="343"/>
      <c r="I26" s="343"/>
      <c r="X26" s="343"/>
    </row>
    <row r="27" spans="1:27" ht="20.100000000000001" customHeight="1">
      <c r="A27" s="395"/>
      <c r="B27" s="334" t="s">
        <v>1617</v>
      </c>
      <c r="C27" s="326">
        <v>212</v>
      </c>
      <c r="D27" s="444"/>
      <c r="F27" s="343"/>
      <c r="G27" s="343"/>
      <c r="H27" s="343"/>
      <c r="I27" s="343"/>
      <c r="X27" s="343"/>
    </row>
    <row r="28" spans="1:27" ht="20.100000000000001" customHeight="1">
      <c r="A28" s="395"/>
      <c r="B28" s="266" t="s">
        <v>1613</v>
      </c>
      <c r="C28" s="445">
        <f>IF(C4="竖直",C6*(9.8+C24)*C25/C27,IF(C4="水平",C6*9.8+C6*C24*C25/C27,"请选择布局方式"))</f>
        <v>5.7523584905660377</v>
      </c>
      <c r="D28" s="447" t="s">
        <v>1598</v>
      </c>
      <c r="F28" s="343"/>
      <c r="G28" s="343"/>
      <c r="H28" s="343"/>
      <c r="I28" s="343"/>
      <c r="X28" s="343"/>
    </row>
    <row r="29" spans="1:27" ht="20.100000000000001" customHeight="1">
      <c r="A29" s="395"/>
      <c r="B29" s="266" t="s">
        <v>1614</v>
      </c>
      <c r="C29" s="445">
        <f>IF(C4="竖直",C6*(9.8+C24)*C26/C27,IF(C4="水平",C6*C24*C26/C27,"请选择布局方式"))</f>
        <v>0.79893867924528306</v>
      </c>
      <c r="D29" s="448"/>
      <c r="F29" s="343"/>
      <c r="G29" s="343"/>
      <c r="H29" s="343"/>
      <c r="I29" s="343"/>
      <c r="X29" s="343"/>
    </row>
    <row r="30" spans="1:27" ht="20.100000000000001" customHeight="1">
      <c r="A30" s="449"/>
      <c r="B30" s="266" t="s">
        <v>1566</v>
      </c>
      <c r="C30" s="284">
        <f>MAX(C28,C29)</f>
        <v>5.7523584905660377</v>
      </c>
      <c r="D30" s="266" t="s">
        <v>1585</v>
      </c>
      <c r="F30" s="343"/>
      <c r="G30" s="343"/>
      <c r="H30" s="343"/>
      <c r="I30" s="343"/>
      <c r="X30" s="343"/>
    </row>
    <row r="31" spans="1:27" ht="20.100000000000001" customHeight="1">
      <c r="A31" s="1081" t="s">
        <v>1570</v>
      </c>
      <c r="B31" s="266" t="s">
        <v>1548</v>
      </c>
      <c r="C31" s="412">
        <f>IF(C5="滚珠",C30*C16/(C18*C20*C22)*(C14/50)^(1/3),IF(C5="滚柱",C30*C16/(C18*C20*C22)*(C14/100)^(3/10),IF(C5="免润滑",C30*C16*(C14/50)^(1/1.57),"请选择滚动体类型")))</f>
        <v>72.068602127908861</v>
      </c>
      <c r="D31" s="1090" t="s">
        <v>1552</v>
      </c>
      <c r="F31" s="343"/>
      <c r="G31" s="343"/>
      <c r="H31" s="343"/>
      <c r="I31" s="343"/>
      <c r="X31" s="343"/>
    </row>
    <row r="32" spans="1:27" ht="20.100000000000001" customHeight="1">
      <c r="A32" s="1083"/>
      <c r="B32" s="345" t="s">
        <v>1550</v>
      </c>
      <c r="C32" s="432"/>
      <c r="D32" s="1015"/>
      <c r="F32" s="343"/>
      <c r="G32" s="343"/>
      <c r="H32" s="343"/>
      <c r="I32" s="343"/>
      <c r="X32" s="343"/>
    </row>
    <row r="33" spans="1:29" ht="20.100000000000001" customHeight="1">
      <c r="F33" s="343"/>
      <c r="G33" s="343"/>
      <c r="H33" s="343"/>
      <c r="I33" s="343"/>
      <c r="Y33" s="343"/>
    </row>
    <row r="34" spans="1:29" ht="20.100000000000001" customHeight="1">
      <c r="A34" s="1340" t="s">
        <v>1612</v>
      </c>
      <c r="B34" s="1224"/>
      <c r="C34" s="1224"/>
      <c r="D34" s="1341"/>
      <c r="F34" s="343"/>
      <c r="G34" s="343"/>
      <c r="H34" s="343"/>
      <c r="I34" s="343"/>
      <c r="AC34" s="343"/>
    </row>
    <row r="35" spans="1:29" ht="20.100000000000001" customHeight="1">
      <c r="A35" s="1342"/>
      <c r="B35" s="1032"/>
      <c r="C35" s="1032"/>
      <c r="D35" s="1343"/>
      <c r="F35" s="343"/>
      <c r="G35" s="343"/>
      <c r="H35" s="343"/>
      <c r="I35" s="343"/>
      <c r="AC35" s="343"/>
    </row>
    <row r="36" spans="1:29" ht="20.100000000000001" customHeight="1">
      <c r="A36" s="1342"/>
      <c r="B36" s="1032"/>
      <c r="C36" s="1032"/>
      <c r="D36" s="1343"/>
      <c r="F36" s="343"/>
      <c r="G36" s="343"/>
      <c r="H36" s="343"/>
      <c r="I36" s="343"/>
      <c r="AC36" s="343"/>
    </row>
    <row r="37" spans="1:29" ht="20.100000000000001" customHeight="1">
      <c r="A37" s="1342"/>
      <c r="B37" s="1032"/>
      <c r="C37" s="1032"/>
      <c r="D37" s="1343"/>
      <c r="F37" s="343"/>
      <c r="G37" s="343"/>
      <c r="H37" s="343"/>
      <c r="I37" s="343"/>
      <c r="AC37" s="343"/>
    </row>
    <row r="38" spans="1:29" ht="20.100000000000001" customHeight="1">
      <c r="A38" s="1342"/>
      <c r="B38" s="1032"/>
      <c r="C38" s="1032"/>
      <c r="D38" s="1343"/>
      <c r="F38" s="343"/>
      <c r="G38" s="343"/>
      <c r="H38" s="343"/>
      <c r="I38" s="343"/>
      <c r="AC38" s="343"/>
    </row>
    <row r="39" spans="1:29" ht="20.100000000000001" customHeight="1">
      <c r="A39" s="1342"/>
      <c r="B39" s="1032"/>
      <c r="C39" s="1032"/>
      <c r="D39" s="1343"/>
      <c r="F39" s="343"/>
      <c r="G39" s="343"/>
      <c r="H39" s="343"/>
      <c r="I39" s="343"/>
      <c r="AC39" s="343"/>
    </row>
    <row r="40" spans="1:29" ht="20.100000000000001" customHeight="1">
      <c r="A40" s="1342"/>
      <c r="B40" s="1032"/>
      <c r="C40" s="1032"/>
      <c r="D40" s="1343"/>
      <c r="F40" s="343"/>
      <c r="G40" s="343"/>
      <c r="H40" s="343"/>
      <c r="I40" s="343"/>
      <c r="X40" s="343"/>
      <c r="AC40" s="343"/>
    </row>
    <row r="41" spans="1:29" ht="20.100000000000001" customHeight="1">
      <c r="A41" s="1342"/>
      <c r="B41" s="1032"/>
      <c r="C41" s="1032"/>
      <c r="D41" s="1343"/>
      <c r="F41" s="343"/>
      <c r="G41" s="343"/>
      <c r="H41" s="343"/>
      <c r="I41" s="343"/>
      <c r="X41" s="343"/>
      <c r="AC41" s="343"/>
    </row>
    <row r="42" spans="1:29" ht="20.100000000000001" customHeight="1">
      <c r="A42" s="1344"/>
      <c r="B42" s="1345"/>
      <c r="C42" s="1345"/>
      <c r="D42" s="1346"/>
      <c r="F42" s="343"/>
      <c r="G42" s="343"/>
      <c r="H42" s="343"/>
      <c r="I42" s="343"/>
      <c r="X42" s="343"/>
      <c r="AC42" s="343"/>
    </row>
    <row r="43" spans="1:29" ht="20.100000000000001" customHeight="1">
      <c r="A43" s="1282" t="s">
        <v>1620</v>
      </c>
      <c r="B43" s="1283"/>
      <c r="C43" s="1283"/>
      <c r="D43" s="1284"/>
      <c r="F43" s="343"/>
      <c r="G43" s="343"/>
      <c r="H43" s="343"/>
      <c r="I43" s="343"/>
      <c r="AC43" s="343"/>
    </row>
    <row r="44" spans="1:29" ht="20.100000000000001" customHeight="1">
      <c r="A44" s="1285"/>
      <c r="B44" s="1272"/>
      <c r="C44" s="1272"/>
      <c r="D44" s="1286"/>
      <c r="F44" s="343"/>
      <c r="G44" s="343"/>
      <c r="H44" s="343"/>
      <c r="I44" s="343"/>
      <c r="AC44" s="343"/>
    </row>
    <row r="45" spans="1:29" ht="20.100000000000001" customHeight="1">
      <c r="A45" s="1285"/>
      <c r="B45" s="1272"/>
      <c r="C45" s="1272"/>
      <c r="D45" s="1286"/>
      <c r="F45" s="343"/>
      <c r="G45" s="343"/>
      <c r="H45" s="343"/>
      <c r="I45" s="343"/>
      <c r="AC45" s="343"/>
    </row>
    <row r="46" spans="1:29" ht="20.100000000000001" customHeight="1">
      <c r="A46" s="1287"/>
      <c r="B46" s="1273"/>
      <c r="C46" s="1273"/>
      <c r="D46" s="1288"/>
      <c r="F46" s="343"/>
      <c r="G46" s="343"/>
      <c r="H46" s="343"/>
      <c r="I46" s="343"/>
    </row>
    <row r="47" spans="1:29" ht="20.100000000000001" customHeight="1">
      <c r="A47" s="333" t="s">
        <v>1555</v>
      </c>
      <c r="F47" s="343"/>
      <c r="G47" s="343"/>
      <c r="H47" s="343"/>
      <c r="I47" s="343"/>
    </row>
    <row r="48" spans="1:29" ht="20.100000000000001" customHeight="1">
      <c r="F48" s="343"/>
      <c r="G48" s="343"/>
      <c r="H48" s="343"/>
      <c r="I48" s="343"/>
    </row>
    <row r="49" spans="1:29" ht="20.100000000000001" customHeight="1">
      <c r="F49" s="343"/>
      <c r="G49" s="343"/>
      <c r="H49" s="343"/>
      <c r="I49" s="343"/>
      <c r="AC49" s="343"/>
    </row>
    <row r="50" spans="1:29" ht="20.100000000000001" customHeight="1">
      <c r="F50" s="343"/>
      <c r="G50" s="343"/>
      <c r="H50" s="343"/>
      <c r="I50" s="343"/>
      <c r="AC50" s="343"/>
    </row>
    <row r="51" spans="1:29" ht="20.100000000000001" customHeight="1">
      <c r="F51" s="262" t="s">
        <v>1582</v>
      </c>
      <c r="G51" s="368"/>
      <c r="AC51" s="343"/>
    </row>
    <row r="52" spans="1:29" ht="20.100000000000001" customHeight="1">
      <c r="G52" s="368"/>
      <c r="AC52" s="343"/>
    </row>
    <row r="53" spans="1:29" ht="20.100000000000001" customHeight="1">
      <c r="G53" s="368"/>
      <c r="M53" s="343"/>
      <c r="AC53" s="343"/>
    </row>
    <row r="54" spans="1:29" ht="20.100000000000001" customHeight="1">
      <c r="F54" s="343"/>
      <c r="G54" s="343"/>
      <c r="H54" s="343"/>
      <c r="I54" s="343"/>
      <c r="J54" s="343"/>
      <c r="K54" s="343"/>
      <c r="L54" s="343"/>
      <c r="M54" s="343"/>
      <c r="AC54" s="343"/>
    </row>
    <row r="55" spans="1:29" ht="20.100000000000001" customHeight="1">
      <c r="F55" s="343"/>
      <c r="G55" s="343"/>
      <c r="H55" s="343"/>
      <c r="I55" s="343"/>
      <c r="J55" s="343"/>
      <c r="K55" s="343"/>
      <c r="L55" s="343"/>
      <c r="M55" s="343"/>
      <c r="AC55" s="343"/>
    </row>
    <row r="56" spans="1:29" ht="20.100000000000001" customHeight="1">
      <c r="F56" s="343"/>
      <c r="G56" s="343"/>
      <c r="H56" s="343"/>
      <c r="I56" s="343"/>
      <c r="J56" s="343"/>
      <c r="K56" s="343"/>
      <c r="L56" s="343"/>
      <c r="M56" s="343"/>
      <c r="AC56" s="343"/>
    </row>
    <row r="57" spans="1:29" ht="20.100000000000001" customHeight="1">
      <c r="F57" s="343"/>
      <c r="G57" s="343"/>
      <c r="H57" s="343"/>
      <c r="I57" s="343"/>
      <c r="J57" s="343"/>
      <c r="K57" s="343"/>
      <c r="L57" s="343"/>
      <c r="M57" s="343"/>
      <c r="AC57" s="343"/>
    </row>
    <row r="58" spans="1:29" ht="20.100000000000001" customHeight="1">
      <c r="A58" s="262" t="s">
        <v>1584</v>
      </c>
      <c r="F58" s="343"/>
      <c r="G58" s="343"/>
      <c r="H58" s="343"/>
      <c r="I58" s="343"/>
      <c r="J58" s="343"/>
      <c r="K58" s="343"/>
      <c r="L58" s="343"/>
      <c r="M58" s="343"/>
      <c r="AC58" s="343"/>
    </row>
    <row r="59" spans="1:29" ht="20.100000000000001" customHeight="1">
      <c r="F59" s="343"/>
      <c r="G59" s="343"/>
      <c r="H59" s="343"/>
      <c r="I59" s="343"/>
      <c r="J59" s="349"/>
      <c r="K59" s="343"/>
      <c r="L59" s="343"/>
      <c r="M59" s="343"/>
      <c r="AC59" s="343"/>
    </row>
    <row r="60" spans="1:29" ht="20.100000000000001" customHeight="1">
      <c r="F60" s="343"/>
      <c r="G60" s="343"/>
      <c r="H60" s="343"/>
      <c r="I60" s="343"/>
      <c r="J60" s="349"/>
      <c r="K60" s="343"/>
      <c r="L60" s="343"/>
      <c r="M60" s="343"/>
      <c r="AC60" s="343"/>
    </row>
    <row r="61" spans="1:29" ht="20.100000000000001" customHeight="1">
      <c r="F61" s="343"/>
      <c r="G61" s="343"/>
      <c r="H61" s="343"/>
      <c r="I61" s="343"/>
      <c r="J61" s="349"/>
      <c r="K61" s="343"/>
      <c r="L61" s="343"/>
      <c r="M61" s="343"/>
      <c r="AC61" s="343"/>
    </row>
    <row r="62" spans="1:29" ht="20.100000000000001" customHeight="1">
      <c r="I62" s="343"/>
      <c r="J62" s="349"/>
      <c r="K62" s="343"/>
      <c r="L62" s="343"/>
      <c r="M62" s="343"/>
      <c r="AC62" s="343"/>
    </row>
    <row r="63" spans="1:29" ht="20.100000000000001" customHeight="1">
      <c r="A63" s="262" t="s">
        <v>1583</v>
      </c>
      <c r="I63" s="349"/>
      <c r="J63" s="349"/>
      <c r="K63" s="343"/>
      <c r="L63" s="343"/>
      <c r="M63" s="343"/>
      <c r="AC63" s="343"/>
    </row>
    <row r="64" spans="1:29" ht="20.100000000000001" customHeight="1">
      <c r="J64" s="343"/>
      <c r="K64" s="343"/>
      <c r="L64" s="343"/>
      <c r="M64" s="343"/>
      <c r="AC64" s="343"/>
    </row>
    <row r="65" spans="6:29" ht="20.100000000000001" customHeight="1">
      <c r="J65" s="343"/>
      <c r="K65" s="343"/>
      <c r="L65" s="343"/>
      <c r="M65" s="343"/>
      <c r="AC65" s="343"/>
    </row>
    <row r="66" spans="6:29" ht="20.100000000000001" customHeight="1">
      <c r="F66" s="343"/>
      <c r="G66" s="343"/>
      <c r="H66" s="343"/>
      <c r="I66" s="343"/>
      <c r="J66" s="343"/>
      <c r="K66" s="343"/>
      <c r="L66" s="343"/>
      <c r="M66" s="343"/>
      <c r="AC66" s="343"/>
    </row>
    <row r="67" spans="6:29" ht="20.100000000000001" customHeight="1">
      <c r="F67" s="343"/>
      <c r="G67" s="343"/>
      <c r="H67" s="343"/>
      <c r="I67" s="343"/>
      <c r="J67" s="343"/>
      <c r="K67" s="343"/>
      <c r="L67" s="343"/>
      <c r="M67" s="343"/>
    </row>
    <row r="68" spans="6:29" ht="20.100000000000001" customHeight="1">
      <c r="F68" s="343"/>
      <c r="G68" s="343"/>
      <c r="H68" s="343"/>
      <c r="I68" s="343"/>
      <c r="J68" s="343"/>
      <c r="K68" s="343"/>
      <c r="L68" s="343"/>
      <c r="M68" s="343"/>
    </row>
    <row r="69" spans="6:29" ht="20.100000000000001" customHeight="1">
      <c r="F69" s="343"/>
      <c r="G69" s="343"/>
      <c r="H69" s="343"/>
      <c r="I69" s="343"/>
      <c r="J69" s="343"/>
      <c r="K69" s="343"/>
      <c r="L69" s="343"/>
      <c r="M69" s="343"/>
    </row>
    <row r="70" spans="6:29" ht="20.100000000000001" customHeight="1">
      <c r="F70" s="343"/>
      <c r="G70" s="343"/>
      <c r="H70" s="343"/>
      <c r="I70" s="343"/>
      <c r="J70" s="343"/>
      <c r="K70" s="343"/>
      <c r="L70" s="343"/>
      <c r="M70" s="343"/>
    </row>
    <row r="71" spans="6:29" ht="20.100000000000001" customHeight="1">
      <c r="J71" s="343"/>
      <c r="K71" s="343"/>
      <c r="L71" s="343"/>
      <c r="M71" s="343"/>
    </row>
    <row r="72" spans="6:29" ht="20.100000000000001" customHeight="1">
      <c r="J72" s="343"/>
      <c r="K72" s="343"/>
      <c r="L72" s="343"/>
      <c r="M72" s="343"/>
    </row>
    <row r="73" spans="6:29" ht="20.100000000000001" customHeight="1">
      <c r="J73" s="343"/>
      <c r="K73" s="343"/>
      <c r="L73" s="343"/>
    </row>
    <row r="74" spans="6:29" ht="20.100000000000001" customHeight="1">
      <c r="J74" s="343"/>
      <c r="K74" s="343"/>
    </row>
    <row r="75" spans="6:29" ht="20.100000000000001" customHeight="1">
      <c r="J75" s="343"/>
      <c r="K75" s="343"/>
    </row>
    <row r="76" spans="6:29" ht="20.100000000000001" customHeight="1">
      <c r="J76" s="343"/>
      <c r="K76" s="343"/>
    </row>
    <row r="77" spans="6:29" ht="20.100000000000001" customHeight="1">
      <c r="K77" s="343"/>
    </row>
  </sheetData>
  <sheetProtection password="828E" sheet="1" objects="1" scenarios="1"/>
  <dataConsolidate/>
  <mergeCells count="7">
    <mergeCell ref="A43:D46"/>
    <mergeCell ref="A1:D1"/>
    <mergeCell ref="A15:A22"/>
    <mergeCell ref="A31:A32"/>
    <mergeCell ref="D31:D32"/>
    <mergeCell ref="A34:D42"/>
    <mergeCell ref="A4:A14"/>
  </mergeCells>
  <phoneticPr fontId="4" type="noConversion"/>
  <dataValidations count="2">
    <dataValidation type="list" allowBlank="1" showInputMessage="1" showErrorMessage="1" prompt="请选择" sqref="C5">
      <formula1>"滚珠,滚柱,免润滑"</formula1>
    </dataValidation>
    <dataValidation type="list" allowBlank="1" showInputMessage="1" showErrorMessage="1" prompt="请选择" sqref="C4">
      <formula1>"水平,竖直"</formula1>
    </dataValidation>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sheetPr codeName="Sheet29"/>
  <dimension ref="A1:AE91"/>
  <sheetViews>
    <sheetView workbookViewId="0">
      <selection activeCell="E79" sqref="E79"/>
    </sheetView>
  </sheetViews>
  <sheetFormatPr defaultColWidth="15.625" defaultRowHeight="20.100000000000001" customHeight="1"/>
  <cols>
    <col min="1" max="1" width="14.875" style="262" customWidth="1"/>
    <col min="2" max="2" width="24.25" style="262" customWidth="1"/>
    <col min="3" max="3" width="13.875" style="263" customWidth="1"/>
    <col min="4" max="4" width="17.5" style="262" customWidth="1"/>
    <col min="5" max="5" width="8.625" style="262" customWidth="1"/>
    <col min="6" max="6" width="14.375" style="262" customWidth="1"/>
    <col min="7" max="7" width="13.25" style="262" customWidth="1"/>
    <col min="8" max="9" width="10.625" style="262" customWidth="1"/>
    <col min="10" max="10" width="13.375" style="262" customWidth="1"/>
    <col min="11" max="11" width="10" style="262" customWidth="1"/>
    <col min="12" max="12" width="7.62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ht="21.95" customHeight="1">
      <c r="A1" s="775" t="s">
        <v>2772</v>
      </c>
      <c r="B1" s="776"/>
      <c r="C1" s="776"/>
      <c r="D1" s="776"/>
      <c r="F1" s="399"/>
      <c r="G1" s="343"/>
      <c r="H1" s="343"/>
      <c r="M1" s="333"/>
    </row>
    <row r="2" spans="1:31" ht="20.100000000000001" customHeight="1">
      <c r="A2" s="266" t="s">
        <v>753</v>
      </c>
      <c r="B2" s="266" t="s">
        <v>754</v>
      </c>
      <c r="C2" s="267" t="s">
        <v>755</v>
      </c>
      <c r="D2" s="266" t="s">
        <v>762</v>
      </c>
      <c r="F2" s="333"/>
      <c r="G2" s="343"/>
      <c r="H2" s="343"/>
      <c r="I2" s="343"/>
      <c r="T2" s="344"/>
      <c r="V2" s="342"/>
      <c r="W2" s="342"/>
      <c r="X2" s="342"/>
      <c r="Y2" s="342"/>
      <c r="Z2" s="342"/>
      <c r="AA2" s="342"/>
      <c r="AB2" s="342"/>
      <c r="AC2" s="342"/>
      <c r="AD2" s="342"/>
    </row>
    <row r="3" spans="1:31" ht="20.100000000000001" customHeight="1">
      <c r="A3" s="1081" t="s">
        <v>756</v>
      </c>
      <c r="B3" s="266" t="s">
        <v>1897</v>
      </c>
      <c r="C3" s="326">
        <v>25</v>
      </c>
      <c r="D3" s="266"/>
      <c r="F3" s="343"/>
      <c r="G3" s="343"/>
      <c r="H3" s="343"/>
      <c r="I3" s="343"/>
      <c r="T3" s="344"/>
      <c r="V3" s="342"/>
      <c r="W3" s="342"/>
      <c r="X3" s="342"/>
      <c r="Y3" s="342"/>
      <c r="Z3" s="342"/>
      <c r="AA3" s="342"/>
      <c r="AB3" s="342"/>
      <c r="AC3" s="342"/>
      <c r="AD3" s="342"/>
    </row>
    <row r="4" spans="1:31" ht="20.100000000000001" customHeight="1">
      <c r="A4" s="1082"/>
      <c r="B4" s="266" t="s">
        <v>1896</v>
      </c>
      <c r="C4" s="326">
        <v>5</v>
      </c>
      <c r="D4" s="266"/>
      <c r="F4" s="343"/>
      <c r="G4" s="343"/>
      <c r="H4" s="343"/>
      <c r="I4" s="343"/>
      <c r="T4" s="344"/>
      <c r="W4" s="343"/>
      <c r="X4" s="343"/>
      <c r="Y4" s="343"/>
      <c r="Z4" s="343"/>
      <c r="AA4" s="343"/>
      <c r="AB4" s="343"/>
      <c r="AC4" s="343"/>
      <c r="AD4" s="343"/>
    </row>
    <row r="5" spans="1:31" ht="20.100000000000001" customHeight="1">
      <c r="A5" s="1082"/>
      <c r="B5" s="266" t="s">
        <v>1927</v>
      </c>
      <c r="C5" s="501">
        <f>C3+C4</f>
        <v>30</v>
      </c>
      <c r="D5" s="345"/>
      <c r="F5" s="343"/>
      <c r="G5" s="343"/>
      <c r="H5" s="343"/>
      <c r="I5" s="343"/>
      <c r="T5" s="344"/>
      <c r="W5" s="344"/>
      <c r="X5" s="344"/>
      <c r="Y5" s="344"/>
      <c r="Z5" s="344"/>
      <c r="AA5" s="344"/>
      <c r="AB5" s="344"/>
      <c r="AC5" s="344"/>
      <c r="AD5" s="344"/>
      <c r="AE5" s="343"/>
    </row>
    <row r="6" spans="1:31" ht="20.100000000000001" customHeight="1">
      <c r="A6" s="1082"/>
      <c r="B6" s="266" t="s">
        <v>1912</v>
      </c>
      <c r="C6" s="326">
        <v>350</v>
      </c>
      <c r="D6" s="345" t="s">
        <v>1607</v>
      </c>
      <c r="F6" s="343"/>
      <c r="G6" s="343"/>
      <c r="H6" s="343"/>
      <c r="I6" s="343"/>
      <c r="T6" s="344"/>
      <c r="W6" s="344"/>
      <c r="X6" s="344"/>
      <c r="Y6" s="344"/>
      <c r="Z6" s="344"/>
      <c r="AE6" s="344"/>
    </row>
    <row r="7" spans="1:31" ht="20.100000000000001" customHeight="1">
      <c r="A7" s="1082"/>
      <c r="B7" s="266" t="s">
        <v>1590</v>
      </c>
      <c r="C7" s="326">
        <v>0.15</v>
      </c>
      <c r="D7" s="266" t="s">
        <v>1562</v>
      </c>
      <c r="F7" s="343"/>
      <c r="G7" s="343"/>
      <c r="H7" s="343"/>
      <c r="I7" s="343"/>
      <c r="T7" s="344"/>
      <c r="V7" s="344"/>
      <c r="W7" s="344"/>
      <c r="X7" s="344"/>
      <c r="Y7" s="344"/>
      <c r="Z7" s="344"/>
      <c r="AA7" s="344"/>
      <c r="AB7" s="344"/>
      <c r="AC7" s="344"/>
    </row>
    <row r="8" spans="1:31" ht="20.100000000000001" customHeight="1">
      <c r="A8" s="1082"/>
      <c r="B8" s="266" t="s">
        <v>1592</v>
      </c>
      <c r="C8" s="326">
        <v>0.15</v>
      </c>
      <c r="D8" s="266" t="s">
        <v>1502</v>
      </c>
      <c r="F8" s="343"/>
      <c r="G8" s="343"/>
      <c r="H8" s="343"/>
      <c r="I8" s="343"/>
      <c r="T8" s="344"/>
      <c r="V8" s="344"/>
      <c r="W8" s="344"/>
      <c r="X8" s="344"/>
      <c r="Y8" s="344"/>
      <c r="Z8" s="344"/>
      <c r="AA8" s="344"/>
      <c r="AB8" s="344"/>
      <c r="AC8" s="344"/>
      <c r="AD8" s="344"/>
    </row>
    <row r="9" spans="1:31" ht="20.100000000000001" customHeight="1">
      <c r="A9" s="1082"/>
      <c r="B9" s="266" t="s">
        <v>1516</v>
      </c>
      <c r="C9" s="326">
        <v>15</v>
      </c>
      <c r="D9" s="266"/>
      <c r="F9" s="343"/>
      <c r="G9" s="343"/>
      <c r="H9" s="343"/>
      <c r="I9" s="343"/>
      <c r="T9" s="344"/>
      <c r="V9" s="344"/>
      <c r="W9" s="344"/>
    </row>
    <row r="10" spans="1:31" ht="20.100000000000001" customHeight="1">
      <c r="A10" s="1082"/>
      <c r="B10" s="266" t="s">
        <v>1913</v>
      </c>
      <c r="C10" s="501">
        <f>60/C9</f>
        <v>4</v>
      </c>
      <c r="D10" s="266" t="s">
        <v>1914</v>
      </c>
      <c r="F10" s="343"/>
      <c r="G10" s="343"/>
      <c r="H10" s="343"/>
      <c r="I10" s="343"/>
      <c r="T10" s="344"/>
    </row>
    <row r="11" spans="1:31" ht="20.100000000000001" customHeight="1">
      <c r="A11" s="1082"/>
      <c r="B11" s="266" t="s">
        <v>1898</v>
      </c>
      <c r="C11" s="326">
        <v>1</v>
      </c>
      <c r="D11" s="345" t="s">
        <v>1587</v>
      </c>
      <c r="F11" s="343"/>
      <c r="G11" s="343"/>
      <c r="H11" s="343"/>
      <c r="I11" s="343"/>
      <c r="T11" s="344"/>
    </row>
    <row r="12" spans="1:31" ht="20.100000000000001" customHeight="1">
      <c r="A12" s="1082"/>
      <c r="B12" s="266" t="s">
        <v>1900</v>
      </c>
      <c r="C12" s="326">
        <v>0.15</v>
      </c>
      <c r="D12" s="345" t="s">
        <v>1899</v>
      </c>
      <c r="F12" s="343"/>
      <c r="G12" s="343"/>
      <c r="H12" s="343"/>
      <c r="I12" s="343"/>
      <c r="T12" s="344"/>
      <c r="U12" s="344"/>
      <c r="AA12" s="343"/>
    </row>
    <row r="13" spans="1:31" ht="20.100000000000001" customHeight="1">
      <c r="A13" s="1082"/>
      <c r="B13" s="1226" t="s">
        <v>1901</v>
      </c>
      <c r="C13" s="326">
        <v>0.3</v>
      </c>
      <c r="D13" s="1081" t="str">
        <f>"每"&amp;C14&amp;"mm精度"&amp;"±"&amp;C13</f>
        <v>每350mm精度±0.3</v>
      </c>
      <c r="F13" s="343"/>
      <c r="G13" s="343"/>
      <c r="H13" s="343"/>
      <c r="I13" s="343"/>
      <c r="T13" s="344"/>
      <c r="AA13" s="343"/>
    </row>
    <row r="14" spans="1:31" ht="20.100000000000001" customHeight="1">
      <c r="A14" s="1082"/>
      <c r="B14" s="1217"/>
      <c r="C14" s="326">
        <v>350</v>
      </c>
      <c r="D14" s="1083"/>
      <c r="F14" s="343"/>
      <c r="G14" s="343"/>
      <c r="H14" s="343"/>
      <c r="I14" s="343"/>
      <c r="T14" s="344"/>
      <c r="U14" s="344"/>
      <c r="AA14" s="343"/>
    </row>
    <row r="15" spans="1:31" ht="20.100000000000001" customHeight="1">
      <c r="A15" s="1082"/>
      <c r="B15" s="266" t="s">
        <v>1658</v>
      </c>
      <c r="C15" s="326">
        <v>0.02</v>
      </c>
      <c r="D15" s="345"/>
      <c r="F15" s="343" t="s">
        <v>1932</v>
      </c>
      <c r="G15" s="343"/>
      <c r="H15" s="343" t="s">
        <v>1937</v>
      </c>
      <c r="I15" s="343"/>
      <c r="J15" s="343"/>
      <c r="K15" s="343"/>
      <c r="L15" s="343"/>
      <c r="M15" s="343"/>
      <c r="AA15" s="343"/>
    </row>
    <row r="16" spans="1:31" ht="20.100000000000001" customHeight="1">
      <c r="A16" s="1082"/>
      <c r="B16" s="266" t="s">
        <v>1902</v>
      </c>
      <c r="C16" s="326">
        <v>15</v>
      </c>
      <c r="D16" s="345"/>
      <c r="F16" s="343"/>
      <c r="G16" s="343"/>
      <c r="H16" s="343"/>
      <c r="I16" s="343"/>
      <c r="J16" s="343"/>
      <c r="K16" s="343"/>
      <c r="L16" s="343"/>
      <c r="M16" s="343"/>
      <c r="AA16" s="343"/>
    </row>
    <row r="17" spans="1:27" ht="20.100000000000001" customHeight="1">
      <c r="A17" s="1082"/>
      <c r="B17" s="266" t="s">
        <v>1907</v>
      </c>
      <c r="C17" s="326">
        <v>30</v>
      </c>
      <c r="D17" s="345" t="s">
        <v>1908</v>
      </c>
      <c r="F17" s="343"/>
      <c r="G17" s="343"/>
      <c r="H17" s="343"/>
      <c r="I17" s="343"/>
      <c r="J17" s="343"/>
      <c r="K17" s="343"/>
      <c r="L17" s="343"/>
      <c r="M17" s="343"/>
      <c r="AA17" s="343"/>
    </row>
    <row r="18" spans="1:27" ht="20.100000000000001" customHeight="1">
      <c r="A18" s="1082"/>
      <c r="B18" s="266" t="s">
        <v>1904</v>
      </c>
      <c r="C18" s="326">
        <v>1</v>
      </c>
      <c r="D18" s="345" t="s">
        <v>1905</v>
      </c>
      <c r="F18" s="343"/>
      <c r="G18" s="343"/>
      <c r="H18" s="343"/>
      <c r="I18" s="343"/>
      <c r="J18" s="343"/>
      <c r="K18" s="343"/>
      <c r="L18" s="343"/>
      <c r="M18" s="343"/>
      <c r="Y18" s="343"/>
    </row>
    <row r="19" spans="1:27" ht="20.100000000000001" customHeight="1">
      <c r="A19" s="1083"/>
      <c r="B19" s="266" t="s">
        <v>1923</v>
      </c>
      <c r="C19" s="326">
        <v>0.9</v>
      </c>
      <c r="D19" s="345"/>
      <c r="F19" s="343"/>
      <c r="G19" s="343"/>
      <c r="H19" s="343"/>
      <c r="I19" s="343"/>
      <c r="J19" s="343"/>
      <c r="K19" s="343"/>
      <c r="L19" s="343"/>
      <c r="Y19" s="343"/>
    </row>
    <row r="20" spans="1:27" ht="20.100000000000001" customHeight="1">
      <c r="A20" s="1073" t="s">
        <v>1909</v>
      </c>
      <c r="B20" s="1226" t="s">
        <v>1910</v>
      </c>
      <c r="C20" s="501">
        <f>ROUND(C13*C21/C14,2)</f>
        <v>0.26</v>
      </c>
      <c r="D20" s="513" t="str">
        <f>C20*1000&amp;"um"</f>
        <v>260um</v>
      </c>
      <c r="F20" s="343"/>
      <c r="G20" s="343"/>
      <c r="H20" s="343"/>
      <c r="I20" s="343"/>
      <c r="Y20" s="343"/>
    </row>
    <row r="21" spans="1:27" ht="20.100000000000001" customHeight="1">
      <c r="A21" s="1073"/>
      <c r="B21" s="1217"/>
      <c r="C21" s="326">
        <v>300</v>
      </c>
      <c r="D21" s="513" t="str">
        <f>"每"&amp;C21&amp;"mm精度"&amp;"±"&amp;C20</f>
        <v>每300mm精度±0.26</v>
      </c>
      <c r="F21" s="343"/>
      <c r="G21" s="343"/>
      <c r="H21" s="343"/>
      <c r="I21" s="343"/>
      <c r="Y21" s="343"/>
    </row>
    <row r="22" spans="1:27" ht="20.100000000000001" customHeight="1">
      <c r="A22" s="1073"/>
      <c r="B22" s="514" t="s">
        <v>1934</v>
      </c>
      <c r="C22" s="369" t="s">
        <v>1933</v>
      </c>
      <c r="D22" s="511" t="s">
        <v>1936</v>
      </c>
      <c r="F22" s="343"/>
      <c r="G22" s="343"/>
      <c r="H22" s="343"/>
      <c r="I22" s="343"/>
      <c r="Y22" s="343"/>
    </row>
    <row r="23" spans="1:27" ht="20.100000000000001" customHeight="1">
      <c r="A23" s="1073"/>
      <c r="B23" s="514" t="s">
        <v>1935</v>
      </c>
      <c r="C23" s="369" t="s">
        <v>1938</v>
      </c>
      <c r="D23" s="511" t="s">
        <v>1174</v>
      </c>
      <c r="F23" s="343"/>
      <c r="G23" s="343"/>
      <c r="H23" s="343"/>
      <c r="I23" s="343"/>
      <c r="Y23" s="343"/>
    </row>
    <row r="24" spans="1:27" ht="20.100000000000001" customHeight="1">
      <c r="A24" s="1073" t="s">
        <v>1942</v>
      </c>
      <c r="B24" s="266" t="s">
        <v>1911</v>
      </c>
      <c r="C24" s="287">
        <f>2*C6/(C10-2*C11-C7-C8)/1000</f>
        <v>0.41176470588235287</v>
      </c>
      <c r="D24" s="266"/>
      <c r="F24" s="343"/>
      <c r="G24" s="343"/>
      <c r="H24" s="343"/>
      <c r="I24" s="343"/>
      <c r="Y24" s="343"/>
    </row>
    <row r="25" spans="1:27" ht="20.100000000000001" customHeight="1">
      <c r="A25" s="1073"/>
      <c r="B25" s="266" t="s">
        <v>1917</v>
      </c>
      <c r="C25" s="417">
        <v>3000</v>
      </c>
      <c r="D25" s="266" t="s">
        <v>1915</v>
      </c>
      <c r="F25" s="343"/>
      <c r="G25" s="343"/>
      <c r="H25" s="343"/>
      <c r="I25" s="343"/>
      <c r="X25" s="343"/>
    </row>
    <row r="26" spans="1:27" ht="20.100000000000001" customHeight="1">
      <c r="A26" s="1073"/>
      <c r="B26" s="266" t="s">
        <v>1918</v>
      </c>
      <c r="C26" s="267">
        <f>C25/C18</f>
        <v>3000</v>
      </c>
      <c r="D26" s="266" t="s">
        <v>1916</v>
      </c>
      <c r="F26" s="343"/>
      <c r="G26" s="343"/>
      <c r="H26" s="343"/>
      <c r="I26" s="343"/>
      <c r="X26" s="343"/>
    </row>
    <row r="27" spans="1:27" ht="20.100000000000001" customHeight="1">
      <c r="A27" s="1073"/>
      <c r="B27" s="266" t="s">
        <v>1943</v>
      </c>
      <c r="C27" s="287">
        <f>C24*1000*60/C26</f>
        <v>8.2352941176470562</v>
      </c>
      <c r="D27" s="266" t="s">
        <v>1941</v>
      </c>
      <c r="F27" s="343"/>
      <c r="G27" s="343"/>
      <c r="H27" s="343"/>
      <c r="I27" s="343"/>
      <c r="X27" s="343"/>
    </row>
    <row r="28" spans="1:27" ht="20.100000000000001" customHeight="1">
      <c r="A28" s="1073"/>
      <c r="B28" s="266" t="s">
        <v>1940</v>
      </c>
      <c r="C28" s="267">
        <f>C12</f>
        <v>0.15</v>
      </c>
      <c r="D28" s="345" t="s">
        <v>1899</v>
      </c>
      <c r="F28" s="343"/>
      <c r="G28" s="343"/>
      <c r="H28" s="343"/>
      <c r="I28" s="343"/>
      <c r="X28" s="343"/>
    </row>
    <row r="29" spans="1:27" ht="20.100000000000001" customHeight="1">
      <c r="A29" s="1073"/>
      <c r="B29" s="266" t="s">
        <v>1944</v>
      </c>
      <c r="C29" s="519">
        <v>32</v>
      </c>
      <c r="D29" s="512" t="s">
        <v>363</v>
      </c>
      <c r="F29" s="343"/>
      <c r="G29" s="343"/>
      <c r="H29" s="343"/>
      <c r="I29" s="343"/>
      <c r="X29" s="343"/>
    </row>
    <row r="30" spans="1:27" ht="20.100000000000001" customHeight="1">
      <c r="A30" s="1073"/>
      <c r="B30" s="266" t="s">
        <v>1950</v>
      </c>
      <c r="C30" s="520">
        <v>20</v>
      </c>
      <c r="D30" s="512" t="s">
        <v>310</v>
      </c>
      <c r="F30" s="343"/>
      <c r="G30" s="343"/>
      <c r="H30" s="343"/>
      <c r="I30" s="343"/>
      <c r="X30" s="343"/>
    </row>
    <row r="31" spans="1:27" ht="20.100000000000001" customHeight="1">
      <c r="A31" s="1073"/>
      <c r="B31" s="266" t="s">
        <v>1951</v>
      </c>
      <c r="C31" s="520">
        <v>10</v>
      </c>
      <c r="D31" s="512" t="s">
        <v>310</v>
      </c>
      <c r="F31" s="343"/>
      <c r="G31" s="343"/>
      <c r="H31" s="343"/>
      <c r="I31" s="343"/>
      <c r="X31" s="343"/>
    </row>
    <row r="32" spans="1:27" ht="20.100000000000001" customHeight="1">
      <c r="A32" s="1073"/>
      <c r="B32" s="266" t="s">
        <v>1952</v>
      </c>
      <c r="C32" s="520">
        <v>17.5</v>
      </c>
      <c r="D32" s="516" t="s">
        <v>2019</v>
      </c>
      <c r="F32" s="343"/>
      <c r="G32" s="343"/>
      <c r="H32" s="343"/>
      <c r="I32" s="343"/>
      <c r="X32" s="343"/>
    </row>
    <row r="33" spans="1:29" ht="20.100000000000001" customHeight="1">
      <c r="A33" s="1073"/>
      <c r="B33" s="266" t="s">
        <v>1956</v>
      </c>
      <c r="C33" s="520">
        <v>20.75</v>
      </c>
      <c r="D33" s="516" t="s">
        <v>142</v>
      </c>
      <c r="F33" s="343"/>
      <c r="G33" s="343"/>
      <c r="H33" s="343"/>
      <c r="I33" s="343"/>
      <c r="X33" s="343"/>
      <c r="Y33" s="343"/>
    </row>
    <row r="34" spans="1:29" ht="20.100000000000001" customHeight="1">
      <c r="A34" s="1073" t="s">
        <v>1926</v>
      </c>
      <c r="B34" s="345" t="s">
        <v>1919</v>
      </c>
      <c r="C34" s="369" t="s">
        <v>2013</v>
      </c>
      <c r="D34" s="345" t="s">
        <v>1922</v>
      </c>
      <c r="F34" s="343"/>
      <c r="G34" s="343"/>
      <c r="H34" s="343"/>
      <c r="I34" s="343"/>
      <c r="X34" s="343"/>
      <c r="AC34" s="343"/>
    </row>
    <row r="35" spans="1:29" ht="20.100000000000001" customHeight="1">
      <c r="A35" s="1073"/>
      <c r="B35" s="266" t="s">
        <v>1928</v>
      </c>
      <c r="C35" s="417">
        <v>550</v>
      </c>
      <c r="D35" s="345" t="s">
        <v>1929</v>
      </c>
      <c r="F35" s="343"/>
      <c r="G35" s="343"/>
      <c r="H35" s="343"/>
      <c r="I35" s="343"/>
      <c r="X35" s="343"/>
      <c r="AC35" s="343"/>
    </row>
    <row r="36" spans="1:29" ht="20.100000000000001" customHeight="1">
      <c r="A36" s="1073"/>
      <c r="B36" s="266" t="s">
        <v>1920</v>
      </c>
      <c r="C36" s="518">
        <f>IF(C34="固定—自由",1.875,IF(C34="固定—支撑",3.927,IF(C34="固定—固定",4.73,IF(C34="支撑—支撑",3.142,"请选择安装方式"))))</f>
        <v>3.1419999999999999</v>
      </c>
      <c r="D36" s="266"/>
      <c r="F36" s="343"/>
      <c r="G36" s="343"/>
      <c r="H36" s="343"/>
      <c r="I36" s="343"/>
      <c r="AC36" s="343"/>
    </row>
    <row r="37" spans="1:29" ht="20.100000000000001" customHeight="1">
      <c r="A37" s="1073"/>
      <c r="B37" s="266" t="s">
        <v>1921</v>
      </c>
      <c r="C37" s="518">
        <f>IF(C34="固定—自由",3.4,IF(C34="固定—支撑",15.1,IF(C34="固定—固定",21.9,IF(C34="支撑—支撑",9.7,"请选择安装方式"))))</f>
        <v>9.6999999999999993</v>
      </c>
      <c r="D37" s="266"/>
      <c r="F37" s="343"/>
      <c r="G37" s="343"/>
      <c r="H37" s="343"/>
      <c r="I37" s="343"/>
      <c r="AC37" s="343"/>
    </row>
    <row r="38" spans="1:29" ht="20.100000000000001" customHeight="1">
      <c r="A38" s="1073"/>
      <c r="B38" s="266" t="s">
        <v>1925</v>
      </c>
      <c r="C38" s="518">
        <f>IF(C34="固定—自由",0.25,IF(C34="固定—支撑",2,IF(C34="固定—固定",4,IF(C34="支撑—支撑",1,"请选择安装方式"))))</f>
        <v>1</v>
      </c>
      <c r="D38" s="266"/>
      <c r="F38" s="262" t="s">
        <v>1939</v>
      </c>
      <c r="I38" s="262" t="s">
        <v>1930</v>
      </c>
      <c r="R38" s="262" t="s">
        <v>1931</v>
      </c>
      <c r="AC38" s="343"/>
    </row>
    <row r="39" spans="1:29" ht="20.100000000000001" customHeight="1">
      <c r="A39" s="1073"/>
      <c r="B39" s="266" t="s">
        <v>1924</v>
      </c>
      <c r="C39" s="518">
        <f>IF(C34="固定—自由",1.3,IF(C34="固定—支撑",10,IF(C34="固定—固定",20,IF(C34="支撑—支撑",5,"请选择安装方式"))))</f>
        <v>5</v>
      </c>
      <c r="D39" s="266"/>
      <c r="I39" s="343"/>
      <c r="AC39" s="343"/>
    </row>
    <row r="40" spans="1:29" ht="20.100000000000001" customHeight="1">
      <c r="A40" s="1073" t="s">
        <v>1946</v>
      </c>
      <c r="B40" s="266" t="s">
        <v>1501</v>
      </c>
      <c r="C40" s="287">
        <f>C24/C7</f>
        <v>2.7450980392156858</v>
      </c>
      <c r="D40" s="266"/>
      <c r="I40" s="343"/>
      <c r="AC40" s="343"/>
    </row>
    <row r="41" spans="1:29" ht="20.100000000000001" customHeight="1">
      <c r="A41" s="1073"/>
      <c r="B41" s="266" t="s">
        <v>1947</v>
      </c>
      <c r="C41" s="287">
        <f>ROUND(C5*9.8*(SIN(RADIANS(C17))+C15*COS(RADIANS(C17)))+C5*C40+C16,2)</f>
        <v>249.45</v>
      </c>
      <c r="D41" s="266" t="s">
        <v>2002</v>
      </c>
      <c r="I41" s="343"/>
      <c r="X41" s="343"/>
      <c r="AC41" s="343"/>
    </row>
    <row r="42" spans="1:29" ht="20.100000000000001" customHeight="1">
      <c r="A42" s="1073"/>
      <c r="B42" s="266" t="s">
        <v>1948</v>
      </c>
      <c r="C42" s="521">
        <f>ROUND(C39*C32^4/C35^2*10000,2)</f>
        <v>15502.32</v>
      </c>
      <c r="D42" s="266" t="s">
        <v>1953</v>
      </c>
      <c r="I42" s="343"/>
      <c r="X42" s="343"/>
      <c r="AC42" s="343"/>
    </row>
    <row r="43" spans="1:29" ht="20.100000000000001" customHeight="1">
      <c r="A43" s="1073"/>
      <c r="B43" s="522" t="str">
        <f>IF(C41&lt;=C42,"F≤[F]","F＞[F]")</f>
        <v>F≤[F]</v>
      </c>
      <c r="C43" s="1348" t="str">
        <f>IF(C41&lt;=C42,"校核合格","不合格，请选更大杆径")</f>
        <v>校核合格</v>
      </c>
      <c r="D43" s="1349"/>
      <c r="I43" s="343"/>
      <c r="X43" s="343"/>
      <c r="AC43" s="343"/>
    </row>
    <row r="44" spans="1:29" ht="20.100000000000001" customHeight="1">
      <c r="A44" s="1073" t="s">
        <v>1949</v>
      </c>
      <c r="B44" s="266" t="s">
        <v>1955</v>
      </c>
      <c r="C44" s="518">
        <f>ROUND(C24*1000*60/C31,2)</f>
        <v>2470.59</v>
      </c>
      <c r="D44" s="266" t="s">
        <v>1945</v>
      </c>
      <c r="I44" s="343"/>
      <c r="AC44" s="343"/>
    </row>
    <row r="45" spans="1:29" ht="20.100000000000001" customHeight="1">
      <c r="A45" s="1073"/>
      <c r="B45" s="266" t="s">
        <v>2012</v>
      </c>
      <c r="C45" s="521">
        <f>ROUND(10^7*C37*C32/C35^2,2)</f>
        <v>5611.57</v>
      </c>
      <c r="D45" s="266" t="s">
        <v>1954</v>
      </c>
      <c r="F45" s="262" t="s">
        <v>2020</v>
      </c>
      <c r="G45" s="368"/>
      <c r="I45" s="343"/>
      <c r="AC45" s="343"/>
    </row>
    <row r="46" spans="1:29" ht="20.100000000000001" customHeight="1">
      <c r="A46" s="1073"/>
      <c r="B46" s="266" t="s">
        <v>1957</v>
      </c>
      <c r="C46" s="521">
        <f>ROUND(70000/C33,2)</f>
        <v>3373.49</v>
      </c>
      <c r="D46" s="266" t="s">
        <v>1958</v>
      </c>
      <c r="G46" s="368"/>
      <c r="I46" s="343"/>
    </row>
    <row r="47" spans="1:29" ht="20.100000000000001" customHeight="1">
      <c r="A47" s="1073"/>
      <c r="B47" s="266" t="s">
        <v>1959</v>
      </c>
      <c r="C47" s="521">
        <f>MIN(C45,C46)</f>
        <v>3373.49</v>
      </c>
      <c r="D47" s="266" t="s">
        <v>1960</v>
      </c>
      <c r="G47" s="368"/>
      <c r="I47" s="343"/>
    </row>
    <row r="48" spans="1:29" ht="20.100000000000001" customHeight="1">
      <c r="A48" s="1073"/>
      <c r="B48" s="522" t="str">
        <f>IF(C44&lt;=C47,"n≤[N]","n＞[N]")</f>
        <v>n≤[N]</v>
      </c>
      <c r="C48" s="1348" t="str">
        <f>IF(C44&lt;=C47,"校核合格","不合格，请重选杆径")</f>
        <v>校核合格</v>
      </c>
      <c r="D48" s="1349"/>
      <c r="F48" s="343"/>
      <c r="G48" s="343"/>
      <c r="H48" s="343"/>
      <c r="I48" s="343"/>
    </row>
    <row r="49" spans="1:29" ht="20.100000000000001" customHeight="1">
      <c r="A49" s="1073" t="s">
        <v>1963</v>
      </c>
      <c r="B49" s="266" t="s">
        <v>1961</v>
      </c>
      <c r="C49" s="522">
        <f>C30</f>
        <v>20</v>
      </c>
      <c r="D49" s="512"/>
      <c r="F49" s="343"/>
      <c r="G49" s="343"/>
      <c r="H49" s="343"/>
      <c r="I49" s="343"/>
      <c r="AC49" s="343"/>
    </row>
    <row r="50" spans="1:29" ht="20.100000000000001" customHeight="1">
      <c r="A50" s="1073"/>
      <c r="B50" s="266" t="s">
        <v>1962</v>
      </c>
      <c r="C50" s="522">
        <f>C31</f>
        <v>10</v>
      </c>
      <c r="D50" s="512"/>
      <c r="F50" s="343"/>
      <c r="G50" s="343"/>
      <c r="H50" s="343"/>
      <c r="I50" s="343"/>
      <c r="AC50" s="343"/>
    </row>
    <row r="51" spans="1:29" ht="20.100000000000001" customHeight="1">
      <c r="A51" s="1073"/>
      <c r="B51" s="345" t="s">
        <v>1964</v>
      </c>
      <c r="C51" s="522" t="s">
        <v>1966</v>
      </c>
      <c r="D51" s="345" t="s">
        <v>1965</v>
      </c>
      <c r="F51" s="343"/>
      <c r="G51" s="343"/>
      <c r="H51" s="343"/>
      <c r="I51" s="343"/>
      <c r="AC51" s="343"/>
    </row>
    <row r="52" spans="1:29" ht="20.100000000000001" customHeight="1">
      <c r="A52" s="1073" t="s">
        <v>1985</v>
      </c>
      <c r="B52" s="345" t="s">
        <v>1967</v>
      </c>
      <c r="C52" s="330" t="s">
        <v>2010</v>
      </c>
      <c r="D52" s="266"/>
      <c r="F52" s="343"/>
      <c r="G52" s="343"/>
      <c r="H52" s="343"/>
      <c r="I52" s="343"/>
      <c r="AC52" s="343"/>
    </row>
    <row r="53" spans="1:29" ht="20.100000000000001" customHeight="1">
      <c r="A53" s="1073"/>
      <c r="B53" s="266" t="s">
        <v>1968</v>
      </c>
      <c r="C53" s="330">
        <v>5.4</v>
      </c>
      <c r="D53" s="266" t="str">
        <f>C53*1000&amp;"N"</f>
        <v>5400N</v>
      </c>
      <c r="F53" s="262" t="s">
        <v>1981</v>
      </c>
      <c r="I53" s="343"/>
      <c r="AC53" s="343"/>
    </row>
    <row r="54" spans="1:29" ht="20.100000000000001" customHeight="1">
      <c r="A54" s="1073"/>
      <c r="B54" s="334" t="s">
        <v>1969</v>
      </c>
      <c r="C54" s="330">
        <v>13.6</v>
      </c>
      <c r="D54" s="266" t="str">
        <f>C54*1000&amp;"N"</f>
        <v>13600N</v>
      </c>
      <c r="F54" s="523" t="s">
        <v>1970</v>
      </c>
      <c r="G54" s="523" t="s">
        <v>1971</v>
      </c>
      <c r="H54" s="523" t="s">
        <v>1972</v>
      </c>
      <c r="I54" s="343"/>
      <c r="AC54" s="343"/>
    </row>
    <row r="55" spans="1:29" ht="20.100000000000001" customHeight="1">
      <c r="A55" s="1073"/>
      <c r="B55" s="524" t="s">
        <v>1982</v>
      </c>
      <c r="C55" s="326">
        <v>2.5</v>
      </c>
      <c r="D55" s="529" t="s">
        <v>1983</v>
      </c>
      <c r="F55" s="1347" t="s">
        <v>1973</v>
      </c>
      <c r="G55" s="523" t="s">
        <v>1974</v>
      </c>
      <c r="H55" s="523" t="s">
        <v>1975</v>
      </c>
      <c r="I55" s="343"/>
      <c r="AC55" s="343"/>
    </row>
    <row r="56" spans="1:29" ht="20.100000000000001" customHeight="1">
      <c r="A56" s="1073"/>
      <c r="B56" s="334" t="s">
        <v>1984</v>
      </c>
      <c r="C56" s="267">
        <f>C54/C55*1000</f>
        <v>5439.9999999999991</v>
      </c>
      <c r="D56" s="529"/>
      <c r="F56" s="1347"/>
      <c r="G56" s="523" t="s">
        <v>1976</v>
      </c>
      <c r="H56" s="523" t="s">
        <v>1977</v>
      </c>
      <c r="I56" s="343"/>
      <c r="AC56" s="343"/>
    </row>
    <row r="57" spans="1:29" ht="20.100000000000001" customHeight="1">
      <c r="A57" s="1073"/>
      <c r="B57" s="525" t="str">
        <f>IF(C41&lt;=C56,"F≤[C]","F＞[C]")</f>
        <v>F≤[C]</v>
      </c>
      <c r="C57" s="1350" t="str">
        <f>IF(C41&lt;=C56,"校核合格","不合格，请重选螺母")</f>
        <v>校核合格</v>
      </c>
      <c r="D57" s="1351"/>
      <c r="F57" s="1347" t="s">
        <v>1978</v>
      </c>
      <c r="G57" s="523" t="s">
        <v>1974</v>
      </c>
      <c r="H57" s="523" t="s">
        <v>1979</v>
      </c>
      <c r="I57" s="343"/>
      <c r="J57" s="343"/>
      <c r="K57" s="343"/>
      <c r="L57" s="343"/>
      <c r="AC57" s="343"/>
    </row>
    <row r="58" spans="1:29" ht="20.100000000000001" customHeight="1">
      <c r="A58" s="1081" t="s">
        <v>1986</v>
      </c>
      <c r="B58" s="266" t="s">
        <v>1903</v>
      </c>
      <c r="C58" s="326">
        <f>2*8*350*5</f>
        <v>28000</v>
      </c>
      <c r="D58" s="266" t="s">
        <v>1517</v>
      </c>
      <c r="F58" s="1347"/>
      <c r="G58" s="523" t="s">
        <v>1976</v>
      </c>
      <c r="H58" s="523" t="s">
        <v>1980</v>
      </c>
      <c r="I58" s="343"/>
      <c r="J58" s="349"/>
      <c r="K58" s="343"/>
      <c r="L58" s="343"/>
      <c r="AC58" s="343"/>
    </row>
    <row r="59" spans="1:29" ht="20.100000000000001" customHeight="1">
      <c r="A59" s="1082"/>
      <c r="B59" s="288" t="s">
        <v>1993</v>
      </c>
      <c r="C59" s="533">
        <f>2*C6*C9/C50</f>
        <v>1050</v>
      </c>
      <c r="D59" s="534"/>
      <c r="F59" s="343"/>
      <c r="G59" s="343"/>
      <c r="H59" s="343"/>
      <c r="I59" s="343"/>
      <c r="J59" s="349"/>
      <c r="K59" s="343"/>
      <c r="L59" s="343"/>
      <c r="AC59" s="343"/>
    </row>
    <row r="60" spans="1:29" ht="20.100000000000001" customHeight="1">
      <c r="A60" s="1082"/>
      <c r="B60" s="532" t="s">
        <v>1994</v>
      </c>
      <c r="C60" s="527">
        <f>C41</f>
        <v>249.45</v>
      </c>
      <c r="D60" s="266" t="s">
        <v>2003</v>
      </c>
      <c r="F60" s="262" t="s">
        <v>2018</v>
      </c>
      <c r="I60" s="343"/>
      <c r="J60" s="349"/>
      <c r="K60" s="343"/>
      <c r="L60" s="343"/>
      <c r="M60" s="343"/>
      <c r="AC60" s="343"/>
    </row>
    <row r="61" spans="1:29" ht="20.100000000000001" customHeight="1">
      <c r="A61" s="1082"/>
      <c r="B61" s="532" t="s">
        <v>1995</v>
      </c>
      <c r="C61" s="531">
        <f>ROUND(C5*9.8*(SIN(RADIANS(C17))+C15*COS(RADIANS(C17)))+C16,2)</f>
        <v>167.09</v>
      </c>
      <c r="D61" s="266" t="s">
        <v>2004</v>
      </c>
      <c r="I61" s="349"/>
      <c r="J61" s="349"/>
      <c r="K61" s="343"/>
      <c r="L61" s="343"/>
      <c r="M61" s="343"/>
      <c r="AC61" s="343"/>
    </row>
    <row r="62" spans="1:29" ht="20.100000000000001" customHeight="1">
      <c r="A62" s="1082"/>
      <c r="B62" s="532" t="s">
        <v>1996</v>
      </c>
      <c r="C62" s="531">
        <f>ROUND(C5*9.8*(SIN(RADIANS(C17))+C15*COS(RADIANS(C17)))-C5*C40+C16,2)</f>
        <v>84.74</v>
      </c>
      <c r="D62" s="266" t="s">
        <v>2005</v>
      </c>
      <c r="J62" s="343"/>
      <c r="K62" s="343"/>
      <c r="L62" s="343"/>
      <c r="M62" s="343"/>
      <c r="AC62" s="343"/>
    </row>
    <row r="63" spans="1:29" ht="20.100000000000001" customHeight="1">
      <c r="A63" s="1082"/>
      <c r="B63" s="532" t="s">
        <v>1997</v>
      </c>
      <c r="C63" s="531">
        <f>ROUND(C5*9.8*(SIN(RADIANS(C17))+C15*COS(RADIANS(C17)))+C5*C40-C16,2)</f>
        <v>219.45</v>
      </c>
      <c r="D63" s="266" t="s">
        <v>2006</v>
      </c>
      <c r="J63" s="343"/>
      <c r="K63" s="343"/>
      <c r="L63" s="343"/>
      <c r="M63" s="343"/>
      <c r="AC63" s="343"/>
    </row>
    <row r="64" spans="1:29" ht="20.100000000000001" customHeight="1">
      <c r="A64" s="1082"/>
      <c r="B64" s="532" t="s">
        <v>1998</v>
      </c>
      <c r="C64" s="531">
        <f>ROUND(C5*9.8*(SIN(RADIANS(C17))+C15*COS(RADIANS(C17)))-C16,2)</f>
        <v>137.09</v>
      </c>
      <c r="D64" s="266" t="s">
        <v>2007</v>
      </c>
      <c r="I64" s="343"/>
      <c r="J64" s="343"/>
      <c r="K64" s="343"/>
      <c r="L64" s="343"/>
      <c r="M64" s="343"/>
      <c r="AC64" s="343"/>
    </row>
    <row r="65" spans="1:29" ht="20.100000000000001" customHeight="1">
      <c r="A65" s="1082"/>
      <c r="B65" s="532" t="s">
        <v>1999</v>
      </c>
      <c r="C65" s="531">
        <f>ROUND(C5*9.8*(SIN(RADIANS(C17))+C15*COS(RADIANS(C17)))-C5*C40-C16,2)</f>
        <v>54.74</v>
      </c>
      <c r="D65" s="266" t="s">
        <v>2008</v>
      </c>
      <c r="I65" s="343"/>
      <c r="J65" s="343"/>
      <c r="K65" s="343"/>
      <c r="L65" s="343"/>
      <c r="M65" s="343"/>
      <c r="AC65" s="343"/>
    </row>
    <row r="66" spans="1:29" ht="20.100000000000001" customHeight="1">
      <c r="A66" s="1082"/>
      <c r="B66" s="532" t="s">
        <v>2001</v>
      </c>
      <c r="C66" s="531">
        <f>ROUND(0.5*C24*C7*1000,2)</f>
        <v>30.88</v>
      </c>
      <c r="D66" s="266"/>
      <c r="I66" s="343"/>
      <c r="J66" s="343"/>
      <c r="K66" s="343"/>
      <c r="L66" s="343"/>
      <c r="M66" s="343"/>
      <c r="AC66" s="343"/>
    </row>
    <row r="67" spans="1:29" ht="20.100000000000001" customHeight="1">
      <c r="A67" s="1082"/>
      <c r="B67" s="532" t="s">
        <v>2000</v>
      </c>
      <c r="C67" s="531">
        <f>ROUND(C24*(C10/2-C7-C8-C11)*1000,2)</f>
        <v>288.24</v>
      </c>
      <c r="D67" s="266"/>
      <c r="I67" s="343"/>
      <c r="J67" s="343"/>
      <c r="K67" s="343"/>
      <c r="L67" s="343"/>
      <c r="M67" s="343"/>
    </row>
    <row r="68" spans="1:29" ht="20.100000000000001" customHeight="1">
      <c r="A68" s="1082"/>
      <c r="B68" s="526" t="s">
        <v>1987</v>
      </c>
      <c r="C68" s="528">
        <f>ROUND((((ABS(C60))^3*C66+(ABS(C61))^3*C67+(ABS(C62))^3*C66)/(4*C66+2*C67))^(1/3),2)</f>
        <v>138.08000000000001</v>
      </c>
      <c r="D68" s="443"/>
      <c r="I68" s="343"/>
      <c r="J68" s="343"/>
      <c r="K68" s="343"/>
      <c r="L68" s="343"/>
      <c r="M68" s="343"/>
    </row>
    <row r="69" spans="1:29" ht="20.100000000000001" customHeight="1">
      <c r="A69" s="1082"/>
      <c r="B69" s="334" t="s">
        <v>1988</v>
      </c>
      <c r="C69" s="379">
        <f>ROUND((((ABS(C63))^3*C66+(ABS(C64))^3*C67+(ABS(C65))^3*C66)/(4*C66+2*C67))^(1/3),2)</f>
        <v>115.34</v>
      </c>
      <c r="D69" s="443"/>
      <c r="J69" s="343"/>
      <c r="K69" s="343"/>
      <c r="L69" s="343"/>
      <c r="M69" s="343"/>
    </row>
    <row r="70" spans="1:29" ht="20.100000000000001" customHeight="1">
      <c r="A70" s="1082"/>
      <c r="B70" s="334" t="s">
        <v>1989</v>
      </c>
      <c r="C70" s="379">
        <f>MAX(C68,C69)</f>
        <v>138.08000000000001</v>
      </c>
      <c r="D70" s="529"/>
      <c r="J70" s="343"/>
      <c r="K70" s="343"/>
      <c r="L70" s="343"/>
      <c r="M70" s="343"/>
    </row>
    <row r="71" spans="1:29" ht="20.100000000000001" customHeight="1">
      <c r="A71" s="1082"/>
      <c r="B71" s="334" t="s">
        <v>1990</v>
      </c>
      <c r="C71" s="400">
        <v>1.5</v>
      </c>
      <c r="D71" s="529" t="s">
        <v>1319</v>
      </c>
      <c r="J71" s="343"/>
      <c r="K71" s="343"/>
      <c r="L71" s="343"/>
      <c r="M71" s="343"/>
    </row>
    <row r="72" spans="1:29" ht="20.100000000000001" customHeight="1">
      <c r="A72" s="1082"/>
      <c r="B72" s="266" t="s">
        <v>1991</v>
      </c>
      <c r="C72" s="530">
        <f>(C53*1000/C71/C70)^3*10^6</f>
        <v>17722099362.570438</v>
      </c>
      <c r="D72" s="266" t="s">
        <v>1992</v>
      </c>
      <c r="J72" s="343"/>
      <c r="K72" s="343"/>
      <c r="M72" s="343"/>
    </row>
    <row r="73" spans="1:29" ht="20.100000000000001" customHeight="1">
      <c r="A73" s="1082"/>
      <c r="B73" s="266" t="s">
        <v>2009</v>
      </c>
      <c r="C73" s="379">
        <f>C72/(60*C59)</f>
        <v>281303.16448524507</v>
      </c>
      <c r="D73" s="345"/>
      <c r="J73" s="343"/>
      <c r="K73" s="343"/>
      <c r="M73" s="343"/>
    </row>
    <row r="74" spans="1:29" ht="20.100000000000001" customHeight="1">
      <c r="A74" s="1082"/>
      <c r="B74" s="525" t="str">
        <f>IF(C58&lt;=C73,"Lh≤[Lh]","Lh＞[Lh]")</f>
        <v>Lh≤[Lh]</v>
      </c>
      <c r="C74" s="1352" t="str">
        <f>IF(C58&lt;=C73,"校核合格","不合格，请重选螺母")</f>
        <v>校核合格</v>
      </c>
      <c r="D74" s="1352"/>
      <c r="J74" s="343"/>
      <c r="K74" s="343"/>
      <c r="M74" s="343"/>
    </row>
    <row r="75" spans="1:29" ht="20.100000000000001" customHeight="1">
      <c r="A75" s="1083"/>
      <c r="B75" s="345" t="s">
        <v>2011</v>
      </c>
      <c r="C75" s="1353" t="str">
        <f>C52</f>
        <v>WTF2040-2</v>
      </c>
      <c r="D75" s="1354"/>
      <c r="K75" s="343"/>
      <c r="M75" s="343"/>
    </row>
    <row r="76" spans="1:29" ht="20.100000000000001" customHeight="1">
      <c r="A76" s="515" t="s">
        <v>2014</v>
      </c>
      <c r="B76" s="1259" t="s">
        <v>2015</v>
      </c>
      <c r="C76" s="1259"/>
      <c r="D76" s="1259"/>
      <c r="M76" s="343"/>
    </row>
    <row r="77" spans="1:29" ht="20.100000000000001" customHeight="1">
      <c r="M77" s="343"/>
    </row>
    <row r="78" spans="1:29" ht="20.100000000000001" customHeight="1">
      <c r="A78" s="1355" t="s">
        <v>2016</v>
      </c>
      <c r="B78" s="1356"/>
      <c r="C78" s="1356"/>
      <c r="D78" s="1357"/>
    </row>
    <row r="79" spans="1:29" ht="20.100000000000001" customHeight="1">
      <c r="A79" s="1358"/>
      <c r="B79" s="962"/>
      <c r="C79" s="962"/>
      <c r="D79" s="1359"/>
    </row>
    <row r="80" spans="1:29" ht="20.100000000000001" customHeight="1">
      <c r="A80" s="1358"/>
      <c r="B80" s="962"/>
      <c r="C80" s="962"/>
      <c r="D80" s="1359"/>
    </row>
    <row r="81" spans="1:4" ht="20.100000000000001" customHeight="1">
      <c r="A81" s="1358"/>
      <c r="B81" s="962"/>
      <c r="C81" s="962"/>
      <c r="D81" s="1359"/>
    </row>
    <row r="82" spans="1:4" ht="20.100000000000001" customHeight="1">
      <c r="A82" s="1358"/>
      <c r="B82" s="962"/>
      <c r="C82" s="962"/>
      <c r="D82" s="1359"/>
    </row>
    <row r="83" spans="1:4" ht="20.100000000000001" customHeight="1">
      <c r="A83" s="1358"/>
      <c r="B83" s="962"/>
      <c r="C83" s="962"/>
      <c r="D83" s="1359"/>
    </row>
    <row r="84" spans="1:4" ht="20.100000000000001" customHeight="1">
      <c r="A84" s="1358"/>
      <c r="B84" s="962"/>
      <c r="C84" s="962"/>
      <c r="D84" s="1359"/>
    </row>
    <row r="85" spans="1:4" ht="20.100000000000001" customHeight="1">
      <c r="A85" s="1358"/>
      <c r="B85" s="962"/>
      <c r="C85" s="962"/>
      <c r="D85" s="1359"/>
    </row>
    <row r="86" spans="1:4" ht="20.100000000000001" customHeight="1">
      <c r="A86" s="1360"/>
      <c r="B86" s="1361"/>
      <c r="C86" s="1361"/>
      <c r="D86" s="1362"/>
    </row>
    <row r="87" spans="1:4" ht="20.100000000000001" customHeight="1">
      <c r="A87" s="1282" t="s">
        <v>2017</v>
      </c>
      <c r="B87" s="1283"/>
      <c r="C87" s="1283"/>
      <c r="D87" s="1284"/>
    </row>
    <row r="88" spans="1:4" ht="20.100000000000001" customHeight="1">
      <c r="A88" s="1285"/>
      <c r="B88" s="1272"/>
      <c r="C88" s="1272"/>
      <c r="D88" s="1286"/>
    </row>
    <row r="89" spans="1:4" ht="20.100000000000001" customHeight="1">
      <c r="A89" s="1285"/>
      <c r="B89" s="1272"/>
      <c r="C89" s="1272"/>
      <c r="D89" s="1286"/>
    </row>
    <row r="90" spans="1:4" ht="20.100000000000001" customHeight="1">
      <c r="A90" s="1287"/>
      <c r="B90" s="1273"/>
      <c r="C90" s="1273"/>
      <c r="D90" s="1288"/>
    </row>
    <row r="91" spans="1:4" ht="20.100000000000001" customHeight="1">
      <c r="A91" s="333"/>
    </row>
  </sheetData>
  <sheetProtection password="828E" sheet="1" objects="1" scenarios="1"/>
  <dataConsolidate/>
  <mergeCells count="23">
    <mergeCell ref="A1:D1"/>
    <mergeCell ref="A78:D86"/>
    <mergeCell ref="A24:A33"/>
    <mergeCell ref="A34:A39"/>
    <mergeCell ref="A40:A43"/>
    <mergeCell ref="A44:A48"/>
    <mergeCell ref="B76:D76"/>
    <mergeCell ref="A49:A51"/>
    <mergeCell ref="F55:F56"/>
    <mergeCell ref="A87:D90"/>
    <mergeCell ref="B13:B14"/>
    <mergeCell ref="D13:D14"/>
    <mergeCell ref="B20:B21"/>
    <mergeCell ref="C43:D43"/>
    <mergeCell ref="C48:D48"/>
    <mergeCell ref="A20:A23"/>
    <mergeCell ref="A3:A19"/>
    <mergeCell ref="F57:F58"/>
    <mergeCell ref="C57:D57"/>
    <mergeCell ref="A52:A57"/>
    <mergeCell ref="C74:D74"/>
    <mergeCell ref="A58:A75"/>
    <mergeCell ref="C75:D75"/>
  </mergeCells>
  <phoneticPr fontId="4" type="noConversion"/>
  <dataValidations count="3">
    <dataValidation type="list" allowBlank="1" showInputMessage="1" showErrorMessage="1" prompt="请选择" sqref="C34">
      <formula1>"固定—自由,固定—支撑,固定—固定,支撑—支撑"</formula1>
    </dataValidation>
    <dataValidation type="list" allowBlank="1" showInputMessage="1" showErrorMessage="1" prompt="请选择" sqref="C23">
      <formula1>"精密丝杆,轧制丝杆"</formula1>
    </dataValidation>
    <dataValidation type="list" allowBlank="1" showInputMessage="1" showErrorMessage="1" prompt="请选择" sqref="C22">
      <formula1>"C0,C1,C2,C3,C5,C7,C8,C10"</formula1>
    </dataValidation>
  </dataValidations>
  <pageMargins left="0.7" right="0.7" top="0.75" bottom="0.75" header="0.3" footer="0.3"/>
  <pageSetup paperSize="9" orientation="portrait" r:id="rId1"/>
  <drawing r:id="rId2"/>
  <legacyDrawing r:id="rId3"/>
  <oleObjects>
    <oleObject progId="Equations" shapeId="13333" r:id="rId4"/>
  </oleObjects>
</worksheet>
</file>

<file path=xl/worksheets/sheet30.xml><?xml version="1.0" encoding="utf-8"?>
<worksheet xmlns="http://schemas.openxmlformats.org/spreadsheetml/2006/main" xmlns:r="http://schemas.openxmlformats.org/officeDocument/2006/relationships">
  <sheetPr codeName="Sheet30"/>
  <dimension ref="A1:AE210"/>
  <sheetViews>
    <sheetView workbookViewId="0">
      <selection activeCell="E1" sqref="E1"/>
    </sheetView>
  </sheetViews>
  <sheetFormatPr defaultColWidth="15.625" defaultRowHeight="20.100000000000001" customHeight="1"/>
  <cols>
    <col min="1" max="1" width="13.375" style="508" customWidth="1"/>
    <col min="2" max="2" width="33.25" style="262" customWidth="1"/>
    <col min="3" max="3" width="15.5" style="263" customWidth="1"/>
    <col min="4" max="4" width="22" style="262" customWidth="1"/>
    <col min="5" max="5" width="11" style="262" customWidth="1"/>
    <col min="6" max="6" width="14.375" style="262" customWidth="1"/>
    <col min="7" max="7" width="26.625" style="262" customWidth="1"/>
    <col min="8" max="8" width="13.75" style="262" customWidth="1"/>
    <col min="9" max="9" width="17.5" style="262" customWidth="1"/>
    <col min="10" max="10" width="10" style="262" customWidth="1"/>
    <col min="11" max="11" width="10.375" style="262" customWidth="1"/>
    <col min="12" max="12" width="7.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ht="21.95" customHeight="1">
      <c r="A1" s="775" t="s">
        <v>1812</v>
      </c>
      <c r="B1" s="776"/>
      <c r="C1" s="776"/>
      <c r="D1" s="776"/>
      <c r="F1" s="399"/>
      <c r="G1" s="343"/>
      <c r="H1" s="343"/>
    </row>
    <row r="2" spans="1:31" ht="20.100000000000001" customHeight="1">
      <c r="A2" s="1372" t="s">
        <v>1652</v>
      </c>
      <c r="B2" s="1372"/>
      <c r="C2" s="1372"/>
      <c r="D2" s="1372"/>
      <c r="F2" s="399" t="s">
        <v>1638</v>
      </c>
      <c r="G2" s="343"/>
      <c r="H2" s="343"/>
      <c r="I2" s="343"/>
      <c r="J2" s="333"/>
      <c r="R2" s="344"/>
      <c r="S2" s="344"/>
      <c r="T2" s="344"/>
      <c r="V2" s="342"/>
      <c r="W2" s="342"/>
      <c r="X2" s="342"/>
      <c r="Y2" s="342"/>
      <c r="Z2" s="342"/>
      <c r="AA2" s="342"/>
      <c r="AB2" s="342"/>
      <c r="AC2" s="342"/>
      <c r="AD2" s="342"/>
    </row>
    <row r="3" spans="1:31" ht="20.100000000000001" customHeight="1">
      <c r="A3" s="507" t="s">
        <v>753</v>
      </c>
      <c r="B3" s="266" t="s">
        <v>754</v>
      </c>
      <c r="C3" s="267" t="s">
        <v>755</v>
      </c>
      <c r="D3" s="266" t="s">
        <v>762</v>
      </c>
      <c r="I3" s="343"/>
      <c r="J3" s="343"/>
      <c r="K3" s="343"/>
      <c r="T3" s="344"/>
      <c r="V3" s="342"/>
      <c r="W3" s="342"/>
      <c r="X3" s="342"/>
      <c r="Y3" s="342"/>
      <c r="Z3" s="342"/>
      <c r="AA3" s="342"/>
      <c r="AB3" s="342"/>
      <c r="AC3" s="342"/>
      <c r="AD3" s="342"/>
    </row>
    <row r="4" spans="1:31" ht="20.100000000000001" customHeight="1">
      <c r="A4" s="1369" t="s">
        <v>1759</v>
      </c>
      <c r="B4" s="266" t="s">
        <v>1656</v>
      </c>
      <c r="C4" s="326">
        <v>2</v>
      </c>
      <c r="D4" s="345"/>
      <c r="I4" s="343"/>
      <c r="J4" s="343"/>
      <c r="K4" s="343"/>
      <c r="T4" s="344"/>
      <c r="W4" s="343"/>
      <c r="X4" s="343"/>
      <c r="Y4" s="343"/>
      <c r="Z4" s="343"/>
      <c r="AA4" s="343"/>
      <c r="AB4" s="343"/>
      <c r="AC4" s="343"/>
      <c r="AD4" s="343"/>
    </row>
    <row r="5" spans="1:31" ht="20.100000000000001" customHeight="1">
      <c r="A5" s="1378"/>
      <c r="B5" s="266" t="s">
        <v>1781</v>
      </c>
      <c r="C5" s="326">
        <v>0.98</v>
      </c>
      <c r="D5" s="345"/>
      <c r="J5" s="343"/>
      <c r="K5" s="343"/>
      <c r="T5" s="344"/>
      <c r="W5" s="344"/>
      <c r="X5" s="344"/>
      <c r="Y5" s="344"/>
      <c r="Z5" s="344"/>
      <c r="AA5" s="344"/>
      <c r="AB5" s="344"/>
      <c r="AC5" s="344"/>
      <c r="AD5" s="344"/>
      <c r="AE5" s="343"/>
    </row>
    <row r="6" spans="1:31" ht="20.100000000000001" customHeight="1">
      <c r="A6" s="1378"/>
      <c r="B6" s="266" t="s">
        <v>1632</v>
      </c>
      <c r="C6" s="417">
        <v>90</v>
      </c>
      <c r="D6" s="266"/>
      <c r="J6" s="343"/>
      <c r="K6" s="343"/>
      <c r="T6" s="344"/>
      <c r="W6" s="344"/>
      <c r="X6" s="344"/>
      <c r="Y6" s="344"/>
      <c r="Z6" s="344"/>
      <c r="AE6" s="344"/>
    </row>
    <row r="7" spans="1:31" ht="20.100000000000001" customHeight="1">
      <c r="A7" s="1378"/>
      <c r="B7" s="266" t="s">
        <v>1633</v>
      </c>
      <c r="C7" s="417">
        <v>1</v>
      </c>
      <c r="D7" s="266"/>
      <c r="J7" s="343"/>
      <c r="K7" s="343"/>
      <c r="U7" s="344"/>
      <c r="V7" s="344"/>
      <c r="W7" s="344"/>
      <c r="X7" s="344"/>
      <c r="Y7" s="344"/>
      <c r="Z7" s="344"/>
      <c r="AA7" s="344"/>
      <c r="AB7" s="344"/>
      <c r="AC7" s="344"/>
    </row>
    <row r="8" spans="1:31" ht="20.100000000000001" customHeight="1">
      <c r="A8" s="1378"/>
      <c r="B8" s="266" t="s">
        <v>1653</v>
      </c>
      <c r="C8" s="417">
        <v>0.2</v>
      </c>
      <c r="D8" s="345"/>
      <c r="J8" s="343"/>
      <c r="K8" s="343"/>
      <c r="M8" s="343"/>
      <c r="V8" s="344"/>
      <c r="W8" s="344"/>
      <c r="X8" s="344"/>
      <c r="Y8" s="344"/>
      <c r="Z8" s="344"/>
      <c r="AA8" s="344"/>
      <c r="AB8" s="344"/>
      <c r="AC8" s="344"/>
      <c r="AD8" s="344"/>
    </row>
    <row r="9" spans="1:31" ht="20.100000000000001" customHeight="1">
      <c r="A9" s="1378"/>
      <c r="B9" s="266" t="s">
        <v>1634</v>
      </c>
      <c r="C9" s="417">
        <v>0.2</v>
      </c>
      <c r="D9" s="266"/>
      <c r="F9" s="262" t="s">
        <v>1760</v>
      </c>
      <c r="K9" s="343"/>
      <c r="L9" s="343"/>
      <c r="M9" s="343"/>
      <c r="U9" s="344"/>
      <c r="V9" s="344"/>
      <c r="W9" s="344"/>
    </row>
    <row r="10" spans="1:31" ht="20.100000000000001" customHeight="1">
      <c r="A10" s="1378"/>
      <c r="B10" s="266" t="s">
        <v>1635</v>
      </c>
      <c r="C10" s="267">
        <f>C6/360*2/(2*C7-C8-C9)*60</f>
        <v>18.75</v>
      </c>
      <c r="D10" s="266"/>
      <c r="L10" s="343"/>
      <c r="M10" s="343"/>
    </row>
    <row r="11" spans="1:31" ht="20.100000000000001" customHeight="1">
      <c r="A11" s="1378"/>
      <c r="B11" s="266" t="s">
        <v>1733</v>
      </c>
      <c r="C11" s="287">
        <f>C10*C4</f>
        <v>37.5</v>
      </c>
      <c r="D11" s="266"/>
      <c r="L11" s="343"/>
      <c r="M11" s="343"/>
    </row>
    <row r="12" spans="1:31" ht="20.100000000000001" customHeight="1">
      <c r="A12" s="1379"/>
      <c r="B12" s="345" t="s">
        <v>1761</v>
      </c>
      <c r="C12" s="284" t="str">
        <f>IF(C11&lt;=1000,ROUND(C11,2)&amp;"≤1000",IF(C11&lt;=3000,"1000＜n0≤3000",IF(C11&lt;=5000,"3000＜n0≤5000",ROUND(C11,2)&amp;"＞3000")))</f>
        <v>37.5≤1000</v>
      </c>
      <c r="D12" s="495" t="str">
        <f>IF(C11&lt;=1000,"可以使用步进/伺服电机",IF(C11&lt;=3000,"可用伺服电机，勿用步进电机",IF(C11&lt;=3000,"慎用伺服电机，禁用步进电机","禁用步进/伺服电机,请减小减速比再试")))</f>
        <v>可以使用步进/伺服电机</v>
      </c>
      <c r="L12" s="343"/>
      <c r="M12" s="343"/>
      <c r="AA12" s="343"/>
    </row>
    <row r="13" spans="1:31" ht="20.100000000000001" customHeight="1">
      <c r="A13" s="1291" t="s">
        <v>1813</v>
      </c>
      <c r="B13" s="266" t="s">
        <v>1630</v>
      </c>
      <c r="C13" s="459">
        <v>0.5</v>
      </c>
      <c r="D13" s="345"/>
      <c r="L13" s="343"/>
      <c r="M13" s="343"/>
      <c r="AA13" s="343"/>
    </row>
    <row r="14" spans="1:31" ht="20.100000000000001" customHeight="1">
      <c r="A14" s="1291"/>
      <c r="B14" s="266" t="s">
        <v>1631</v>
      </c>
      <c r="C14" s="369" t="s">
        <v>1628</v>
      </c>
      <c r="D14" s="266"/>
      <c r="L14" s="343"/>
      <c r="M14" s="343"/>
      <c r="AA14" s="343"/>
    </row>
    <row r="15" spans="1:31" ht="20.100000000000001" customHeight="1">
      <c r="A15" s="1291"/>
      <c r="B15" s="266" t="s">
        <v>1794</v>
      </c>
      <c r="C15" s="441">
        <f>IF(C14="单向",C13*C4,IF(C14="往复",C13/2*C4,"请选择转动方向"))</f>
        <v>1</v>
      </c>
      <c r="D15" s="285" t="str">
        <f>"细分步距角须≤"&amp;ROUND(C15,2)</f>
        <v>细分步距角须≤1</v>
      </c>
      <c r="F15" s="262" t="s">
        <v>1775</v>
      </c>
      <c r="M15" s="343"/>
      <c r="AA15" s="343"/>
    </row>
    <row r="16" spans="1:31" ht="20.100000000000001" customHeight="1">
      <c r="A16" s="1369" t="s">
        <v>1814</v>
      </c>
      <c r="B16" s="266" t="s">
        <v>1650</v>
      </c>
      <c r="C16" s="326">
        <v>11.03</v>
      </c>
      <c r="D16" s="345" t="s">
        <v>1629</v>
      </c>
      <c r="F16" s="333"/>
      <c r="AA16" s="343"/>
    </row>
    <row r="17" spans="1:27" ht="20.100000000000001" customHeight="1">
      <c r="A17" s="1370"/>
      <c r="B17" s="266" t="s">
        <v>1861</v>
      </c>
      <c r="C17" s="326">
        <v>0.2</v>
      </c>
      <c r="D17" s="509" t="s">
        <v>1862</v>
      </c>
      <c r="AA17" s="343"/>
    </row>
    <row r="18" spans="1:27" ht="20.100000000000001" customHeight="1">
      <c r="A18" s="1370"/>
      <c r="B18" s="266" t="s">
        <v>1664</v>
      </c>
      <c r="C18" s="287">
        <f>C17+C16/C4^2/C5</f>
        <v>3.0137755102040815</v>
      </c>
      <c r="D18" s="499" t="s">
        <v>1782</v>
      </c>
      <c r="Y18" s="343"/>
    </row>
    <row r="19" spans="1:27" ht="20.100000000000001" customHeight="1">
      <c r="A19" s="1370"/>
      <c r="B19" s="345" t="s">
        <v>1663</v>
      </c>
      <c r="C19" s="326">
        <v>5</v>
      </c>
      <c r="D19" s="500" t="s">
        <v>1780</v>
      </c>
      <c r="Y19" s="343"/>
    </row>
    <row r="20" spans="1:27" ht="20.100000000000001" customHeight="1">
      <c r="A20" s="1370"/>
      <c r="B20" s="266" t="s">
        <v>1651</v>
      </c>
      <c r="C20" s="284">
        <f>C18/C19</f>
        <v>0.60275510204081628</v>
      </c>
      <c r="D20" s="451" t="str">
        <f>"转子惯量须≥"&amp;ROUND(C20,2)</f>
        <v>转子惯量须≥0.6</v>
      </c>
      <c r="Y20" s="343"/>
    </row>
    <row r="21" spans="1:27" ht="20.100000000000001" customHeight="1">
      <c r="A21" s="1370"/>
      <c r="B21" s="345" t="s">
        <v>1739</v>
      </c>
      <c r="C21" s="722" t="s">
        <v>1743</v>
      </c>
      <c r="D21" s="451" t="s">
        <v>1741</v>
      </c>
      <c r="Y21" s="343"/>
    </row>
    <row r="22" spans="1:27" ht="20.100000000000001" customHeight="1">
      <c r="A22" s="1370"/>
      <c r="B22" s="266" t="s">
        <v>1740</v>
      </c>
      <c r="C22" s="722">
        <v>1.95</v>
      </c>
      <c r="D22" s="451" t="s">
        <v>1742</v>
      </c>
      <c r="Y22" s="343"/>
    </row>
    <row r="23" spans="1:27" ht="20.100000000000001" customHeight="1">
      <c r="A23" s="1371"/>
      <c r="B23" s="266" t="s">
        <v>1763</v>
      </c>
      <c r="C23" s="722">
        <v>2.4</v>
      </c>
      <c r="D23" s="451" t="s">
        <v>1483</v>
      </c>
      <c r="Y23" s="343"/>
    </row>
    <row r="24" spans="1:27" ht="20.100000000000001" customHeight="1">
      <c r="A24" s="535" t="s">
        <v>1764</v>
      </c>
      <c r="B24" s="266" t="s">
        <v>1744</v>
      </c>
      <c r="C24" s="287">
        <f>C10/60*2*PI()/C8</f>
        <v>9.8174770424681022</v>
      </c>
      <c r="D24" s="266" t="s">
        <v>1746</v>
      </c>
      <c r="Y24" s="343"/>
    </row>
    <row r="25" spans="1:27" ht="20.100000000000001" customHeight="1">
      <c r="A25" s="536"/>
      <c r="B25" s="266" t="s">
        <v>1745</v>
      </c>
      <c r="C25" s="287">
        <f>C11/60*2*PI()/C8</f>
        <v>19.634954084936204</v>
      </c>
      <c r="D25" s="266" t="s">
        <v>1747</v>
      </c>
      <c r="Y25" s="343"/>
    </row>
    <row r="26" spans="1:27" ht="20.100000000000001" customHeight="1">
      <c r="A26" s="536"/>
      <c r="B26" s="266" t="s">
        <v>2120</v>
      </c>
      <c r="C26" s="430">
        <v>0</v>
      </c>
      <c r="D26" s="266"/>
      <c r="Y26" s="343"/>
    </row>
    <row r="27" spans="1:27" ht="20.100000000000001" customHeight="1">
      <c r="A27" s="536"/>
      <c r="B27" s="266" t="s">
        <v>2115</v>
      </c>
      <c r="C27" s="287">
        <v>0</v>
      </c>
      <c r="D27" s="266" t="s">
        <v>1788</v>
      </c>
      <c r="Y27" s="343"/>
    </row>
    <row r="28" spans="1:27" ht="20.100000000000001" customHeight="1">
      <c r="A28" s="536"/>
      <c r="B28" s="266" t="s">
        <v>2121</v>
      </c>
      <c r="C28" s="287">
        <f>(C18+C22)/10000*C25</f>
        <v>9.7463504230787933E-3</v>
      </c>
      <c r="D28" s="266" t="s">
        <v>1791</v>
      </c>
      <c r="X28" s="343"/>
    </row>
    <row r="29" spans="1:27" ht="20.100000000000001" customHeight="1">
      <c r="A29" s="536"/>
      <c r="B29" s="266" t="s">
        <v>1636</v>
      </c>
      <c r="C29" s="326">
        <v>1.5</v>
      </c>
      <c r="D29" s="266" t="s">
        <v>1800</v>
      </c>
      <c r="X29" s="343"/>
    </row>
    <row r="30" spans="1:27" ht="20.100000000000001" customHeight="1">
      <c r="A30" s="536"/>
      <c r="B30" s="266" t="s">
        <v>1637</v>
      </c>
      <c r="C30" s="284">
        <f>C28*C29</f>
        <v>1.4619525634618189E-2</v>
      </c>
      <c r="D30" s="266" t="s">
        <v>1789</v>
      </c>
      <c r="X30" s="343"/>
    </row>
    <row r="31" spans="1:27" ht="20.100000000000001" customHeight="1">
      <c r="A31" s="537"/>
      <c r="B31" s="345" t="s">
        <v>1765</v>
      </c>
      <c r="C31" s="284" t="str">
        <f>IF(C30&lt;=C20,"计算T≤电机Tm","计算T＞电机Tm")</f>
        <v>计算T≤电机Tm</v>
      </c>
      <c r="D31" s="496" t="str">
        <f>IF(C30&lt;=C20,"校验合格","不合格，请选择转矩更大电机")</f>
        <v>校验合格</v>
      </c>
      <c r="X31" s="343"/>
    </row>
    <row r="32" spans="1:27" ht="20.100000000000001" customHeight="1">
      <c r="A32" s="1369" t="s">
        <v>1769</v>
      </c>
      <c r="B32" s="266" t="s">
        <v>1639</v>
      </c>
      <c r="C32" s="723" t="str">
        <f>IF(C30&lt;=C20,C21,"请检查转矩")</f>
        <v>86YG250A</v>
      </c>
      <c r="D32" s="456"/>
      <c r="X32" s="343"/>
    </row>
    <row r="33" spans="1:29" ht="20.100000000000001" customHeight="1">
      <c r="A33" s="1370"/>
      <c r="B33" s="345" t="s">
        <v>1641</v>
      </c>
      <c r="C33" s="460">
        <v>1.8</v>
      </c>
      <c r="D33" s="266" t="s">
        <v>1792</v>
      </c>
      <c r="X33" s="343"/>
    </row>
    <row r="34" spans="1:29" ht="20.100000000000001" customHeight="1">
      <c r="A34" s="1371"/>
      <c r="B34" s="345" t="s">
        <v>1642</v>
      </c>
      <c r="C34" s="341">
        <v>2</v>
      </c>
      <c r="D34" s="450" t="str">
        <f>IF(C34="不细分",IF(C33&lt;C15,"合格","不合格，需要再细分"),IF(C33/C15&lt;C34,"合格","不合格，需要再细分"))</f>
        <v>合格</v>
      </c>
      <c r="X34" s="343"/>
    </row>
    <row r="35" spans="1:29" ht="20.100000000000001" customHeight="1">
      <c r="A35" s="1372" t="s">
        <v>1778</v>
      </c>
      <c r="B35" s="1372"/>
      <c r="C35" s="1372"/>
      <c r="D35" s="1372"/>
      <c r="X35" s="343"/>
    </row>
    <row r="36" spans="1:29" ht="20.100000000000001" customHeight="1">
      <c r="A36" s="507" t="s">
        <v>753</v>
      </c>
      <c r="B36" s="266" t="s">
        <v>754</v>
      </c>
      <c r="C36" s="267" t="s">
        <v>755</v>
      </c>
      <c r="D36" s="266" t="s">
        <v>762</v>
      </c>
      <c r="Y36" s="343"/>
    </row>
    <row r="37" spans="1:29" ht="20.100000000000001" customHeight="1">
      <c r="A37" s="1369" t="s">
        <v>1759</v>
      </c>
      <c r="B37" s="266" t="s">
        <v>1685</v>
      </c>
      <c r="C37" s="326">
        <v>5</v>
      </c>
      <c r="D37" s="266"/>
      <c r="AC37" s="343"/>
    </row>
    <row r="38" spans="1:29" ht="20.100000000000001" customHeight="1">
      <c r="A38" s="1378"/>
      <c r="B38" s="266" t="s">
        <v>1683</v>
      </c>
      <c r="C38" s="326">
        <v>0.95</v>
      </c>
      <c r="D38" s="266"/>
      <c r="AC38" s="343"/>
    </row>
    <row r="39" spans="1:29" ht="20.100000000000001" customHeight="1">
      <c r="A39" s="1378"/>
      <c r="B39" s="266" t="s">
        <v>1674</v>
      </c>
      <c r="C39" s="326">
        <v>40</v>
      </c>
      <c r="D39" s="266"/>
      <c r="AC39" s="343"/>
    </row>
    <row r="40" spans="1:29" ht="20.100000000000001" customHeight="1">
      <c r="A40" s="1378"/>
      <c r="B40" s="266" t="s">
        <v>1679</v>
      </c>
      <c r="C40" s="326">
        <v>600</v>
      </c>
      <c r="D40" s="266"/>
      <c r="AC40" s="343"/>
    </row>
    <row r="41" spans="1:29" ht="20.100000000000001" customHeight="1">
      <c r="A41" s="1378"/>
      <c r="B41" s="266" t="s">
        <v>1675</v>
      </c>
      <c r="C41" s="326">
        <v>19</v>
      </c>
      <c r="D41" s="266"/>
      <c r="AC41" s="343"/>
    </row>
    <row r="42" spans="1:29" ht="20.100000000000001" customHeight="1">
      <c r="A42" s="1378"/>
      <c r="B42" s="266" t="s">
        <v>1673</v>
      </c>
      <c r="C42" s="326">
        <v>0.9</v>
      </c>
      <c r="D42" s="266"/>
      <c r="AC42" s="343"/>
    </row>
    <row r="43" spans="1:29" ht="20.100000000000001" customHeight="1">
      <c r="A43" s="1378"/>
      <c r="B43" s="266" t="s">
        <v>1645</v>
      </c>
      <c r="C43" s="417">
        <v>200</v>
      </c>
      <c r="D43" s="266"/>
      <c r="X43" s="343"/>
      <c r="AC43" s="343"/>
    </row>
    <row r="44" spans="1:29" ht="20.100000000000001" customHeight="1">
      <c r="A44" s="1378"/>
      <c r="B44" s="266" t="s">
        <v>1906</v>
      </c>
      <c r="C44" s="417">
        <v>20</v>
      </c>
      <c r="D44" s="266"/>
      <c r="X44" s="343"/>
      <c r="AC44" s="343"/>
    </row>
    <row r="45" spans="1:29" ht="20.100000000000001" customHeight="1">
      <c r="A45" s="1378"/>
      <c r="B45" s="266" t="s">
        <v>1646</v>
      </c>
      <c r="C45" s="417">
        <v>8</v>
      </c>
      <c r="D45" s="266"/>
      <c r="X45" s="343"/>
      <c r="AC45" s="343"/>
    </row>
    <row r="46" spans="1:29" ht="20.100000000000001" customHeight="1">
      <c r="A46" s="1378"/>
      <c r="B46" s="266" t="s">
        <v>1657</v>
      </c>
      <c r="C46" s="417">
        <v>0.2</v>
      </c>
      <c r="D46" s="266"/>
      <c r="AC46" s="343"/>
    </row>
    <row r="47" spans="1:29" ht="20.100000000000001" customHeight="1">
      <c r="A47" s="1378"/>
      <c r="B47" s="266" t="s">
        <v>1647</v>
      </c>
      <c r="C47" s="417">
        <v>0.2</v>
      </c>
      <c r="D47" s="266"/>
      <c r="AC47" s="343"/>
    </row>
    <row r="48" spans="1:29" ht="20.100000000000001" customHeight="1">
      <c r="A48" s="1378"/>
      <c r="B48" s="266" t="s">
        <v>1648</v>
      </c>
      <c r="C48" s="417">
        <v>1</v>
      </c>
      <c r="D48" s="266"/>
      <c r="AC48" s="343"/>
    </row>
    <row r="49" spans="1:29" ht="20.100000000000001" customHeight="1">
      <c r="A49" s="1378"/>
      <c r="B49" s="266" t="s">
        <v>1649</v>
      </c>
      <c r="C49" s="267">
        <f>60/C45</f>
        <v>7.5</v>
      </c>
      <c r="D49" s="266"/>
    </row>
    <row r="50" spans="1:29" ht="20.100000000000001" customHeight="1">
      <c r="A50" s="1378"/>
      <c r="B50" s="266" t="s">
        <v>1654</v>
      </c>
      <c r="C50" s="287">
        <f>2*C43/(C49-2*C48-C46-C47)/1000</f>
        <v>7.8431372549019607E-2</v>
      </c>
      <c r="D50" s="266"/>
    </row>
    <row r="51" spans="1:29" ht="20.100000000000001" customHeight="1">
      <c r="A51" s="1378"/>
      <c r="B51" s="266" t="s">
        <v>1733</v>
      </c>
      <c r="C51" s="287">
        <f>C50*1000/C41*C37*60</f>
        <v>1238.3900928792571</v>
      </c>
      <c r="D51" s="266"/>
    </row>
    <row r="52" spans="1:29" ht="20.100000000000001" customHeight="1">
      <c r="A52" s="1379"/>
      <c r="B52" s="345" t="s">
        <v>1761</v>
      </c>
      <c r="C52" s="284" t="str">
        <f>IF(C51&lt;=1000,ROUND(C51,2)&amp;"≤1000",IF(C51&lt;=3000,"1000＜n0≤3000",IF(C51&lt;=5000,"3000＜n0≤5000",ROUND(C51,2)&amp;"＞3000")))</f>
        <v>1000＜n0≤3000</v>
      </c>
      <c r="D52" s="495" t="str">
        <f>IF(C51&lt;=1000,"可以使用步进/伺服电机",IF(C51&lt;=3000,"可用伺服电机，勿用步进电机",IF(C51&lt;=3000,"慎用伺服电机，禁用步进电机","禁用步进/伺服电机,请减小减速比再试")))</f>
        <v>可用伺服电机，勿用步进电机</v>
      </c>
      <c r="AC52" s="343"/>
    </row>
    <row r="53" spans="1:29" ht="20.100000000000001" customHeight="1">
      <c r="A53" s="1363" t="s">
        <v>1815</v>
      </c>
      <c r="B53" s="491" t="s">
        <v>1776</v>
      </c>
      <c r="C53" s="492">
        <v>0.5</v>
      </c>
      <c r="D53" s="493"/>
      <c r="AC53" s="343"/>
    </row>
    <row r="54" spans="1:29" ht="20.100000000000001" customHeight="1">
      <c r="A54" s="1364"/>
      <c r="B54" s="491" t="s">
        <v>1777</v>
      </c>
      <c r="C54" s="494">
        <f>C53/2/C41*360</f>
        <v>4.7368421052631575</v>
      </c>
      <c r="D54" s="491" t="str">
        <f>"细分步距角须≤"&amp;ROUND(C54,2)</f>
        <v>细分步距角须≤4.74</v>
      </c>
      <c r="AC54" s="343"/>
    </row>
    <row r="55" spans="1:29" ht="20.100000000000001" customHeight="1">
      <c r="A55" s="1369" t="s">
        <v>1768</v>
      </c>
      <c r="B55" s="292" t="s">
        <v>1677</v>
      </c>
      <c r="C55" s="430">
        <v>5</v>
      </c>
      <c r="D55" s="345"/>
      <c r="AC55" s="343"/>
    </row>
    <row r="56" spans="1:29" ht="20.100000000000001" customHeight="1">
      <c r="A56" s="1370"/>
      <c r="B56" s="292" t="s">
        <v>1857</v>
      </c>
      <c r="C56" s="287">
        <f>C55*(C41/10/(2*PI()))^2/C42</f>
        <v>0.50801315687338799</v>
      </c>
      <c r="D56" s="266" t="s">
        <v>1856</v>
      </c>
      <c r="AC56" s="343"/>
    </row>
    <row r="57" spans="1:29" ht="20.100000000000001" customHeight="1">
      <c r="A57" s="1370"/>
      <c r="B57" s="266" t="s">
        <v>1682</v>
      </c>
      <c r="C57" s="287">
        <f>PI()/32*(7900/100^3)*(C40/10)*(C39/10)^4</f>
        <v>11.912919342412497</v>
      </c>
      <c r="D57" s="288" t="s">
        <v>1678</v>
      </c>
      <c r="M57" s="343"/>
      <c r="AC57" s="343"/>
    </row>
    <row r="58" spans="1:29" ht="20.100000000000001" customHeight="1">
      <c r="A58" s="1370"/>
      <c r="B58" s="266" t="s">
        <v>1681</v>
      </c>
      <c r="C58" s="461">
        <v>3</v>
      </c>
      <c r="D58" s="288" t="s">
        <v>1680</v>
      </c>
      <c r="L58" s="343"/>
      <c r="M58" s="343"/>
      <c r="AC58" s="343"/>
    </row>
    <row r="59" spans="1:29" ht="20.100000000000001" customHeight="1">
      <c r="A59" s="1370"/>
      <c r="B59" s="266" t="s">
        <v>1859</v>
      </c>
      <c r="C59" s="452">
        <f>C56+C57+C58</f>
        <v>15.420932499285884</v>
      </c>
      <c r="D59" s="288" t="s">
        <v>1858</v>
      </c>
      <c r="L59" s="343"/>
      <c r="M59" s="343"/>
      <c r="AC59" s="343"/>
    </row>
    <row r="60" spans="1:29" ht="20.100000000000001" customHeight="1">
      <c r="A60" s="1370"/>
      <c r="B60" s="266" t="s">
        <v>1823</v>
      </c>
      <c r="C60" s="461">
        <v>0.5</v>
      </c>
      <c r="D60" s="509" t="s">
        <v>1862</v>
      </c>
      <c r="L60" s="343"/>
      <c r="M60" s="343"/>
      <c r="AC60" s="343"/>
    </row>
    <row r="61" spans="1:29" ht="20.100000000000001" customHeight="1">
      <c r="A61" s="1370"/>
      <c r="B61" s="345" t="s">
        <v>1665</v>
      </c>
      <c r="C61" s="452">
        <f>C59/C37^2/C38+C60</f>
        <v>1.1493024210225635</v>
      </c>
      <c r="D61" s="453" t="s">
        <v>1860</v>
      </c>
      <c r="L61" s="343"/>
      <c r="M61" s="343"/>
      <c r="AC61" s="343"/>
    </row>
    <row r="62" spans="1:29" ht="20.100000000000001" customHeight="1">
      <c r="A62" s="1370"/>
      <c r="B62" s="345" t="s">
        <v>1663</v>
      </c>
      <c r="C62" s="326">
        <v>5</v>
      </c>
      <c r="D62" s="454" t="s">
        <v>1666</v>
      </c>
      <c r="L62" s="343"/>
      <c r="M62" s="343"/>
      <c r="AC62" s="343"/>
    </row>
    <row r="63" spans="1:29" ht="20.100000000000001" customHeight="1">
      <c r="A63" s="1370"/>
      <c r="B63" s="266" t="s">
        <v>1651</v>
      </c>
      <c r="C63" s="284">
        <f>C61/C62</f>
        <v>0.22986048420451272</v>
      </c>
      <c r="D63" s="451" t="str">
        <f>"转子惯量须≥"&amp;ROUND(C63,2)</f>
        <v>转子惯量须≥0.23</v>
      </c>
      <c r="L63" s="343"/>
      <c r="M63" s="343"/>
      <c r="AC63" s="343"/>
    </row>
    <row r="64" spans="1:29" ht="20.100000000000001" customHeight="1">
      <c r="A64" s="1370"/>
      <c r="B64" s="345" t="s">
        <v>1730</v>
      </c>
      <c r="C64" s="722" t="s">
        <v>1762</v>
      </c>
      <c r="D64" s="451" t="s">
        <v>1731</v>
      </c>
      <c r="L64" s="343"/>
      <c r="M64" s="343"/>
      <c r="AC64" s="343"/>
    </row>
    <row r="65" spans="1:29" ht="20.100000000000001" customHeight="1">
      <c r="A65" s="1370"/>
      <c r="B65" s="266" t="s">
        <v>1732</v>
      </c>
      <c r="C65" s="722">
        <v>0.32</v>
      </c>
      <c r="D65" s="451" t="s">
        <v>1731</v>
      </c>
      <c r="L65" s="343"/>
      <c r="M65" s="343"/>
      <c r="AC65" s="343"/>
    </row>
    <row r="66" spans="1:29" ht="20.100000000000001" customHeight="1">
      <c r="A66" s="1371"/>
      <c r="B66" s="266" t="s">
        <v>1767</v>
      </c>
      <c r="C66" s="722">
        <v>1.27</v>
      </c>
      <c r="D66" s="451" t="s">
        <v>1483</v>
      </c>
      <c r="L66" s="343"/>
      <c r="M66" s="343"/>
      <c r="AC66" s="343"/>
    </row>
    <row r="67" spans="1:29" ht="20.100000000000001" customHeight="1">
      <c r="A67" s="1081" t="s">
        <v>1764</v>
      </c>
      <c r="B67" s="266" t="s">
        <v>2120</v>
      </c>
      <c r="C67" s="702">
        <v>0</v>
      </c>
      <c r="D67" s="451"/>
      <c r="L67" s="343"/>
      <c r="M67" s="343"/>
      <c r="AC67" s="343"/>
    </row>
    <row r="68" spans="1:29" ht="20.100000000000001" customHeight="1">
      <c r="A68" s="1378"/>
      <c r="B68" s="266" t="s">
        <v>1588</v>
      </c>
      <c r="C68" s="287">
        <f>C50/C46</f>
        <v>0.39215686274509803</v>
      </c>
      <c r="D68" s="266" t="s">
        <v>1750</v>
      </c>
      <c r="L68" s="343"/>
      <c r="M68" s="343"/>
      <c r="AC68" s="343"/>
    </row>
    <row r="69" spans="1:29" ht="20.100000000000001" customHeight="1">
      <c r="A69" s="1378"/>
      <c r="B69" s="266" t="s">
        <v>1749</v>
      </c>
      <c r="C69" s="287">
        <f>2*PI()*C51/C46/60</f>
        <v>648.41953634464255</v>
      </c>
      <c r="D69" s="266" t="s">
        <v>1734</v>
      </c>
      <c r="L69" s="343"/>
      <c r="M69" s="343"/>
      <c r="AC69" s="343"/>
    </row>
    <row r="70" spans="1:29" ht="20.100000000000001" customHeight="1">
      <c r="A70" s="1378"/>
      <c r="B70" s="266" t="s">
        <v>1729</v>
      </c>
      <c r="C70" s="430">
        <v>0.02</v>
      </c>
      <c r="D70" s="266" t="s">
        <v>1735</v>
      </c>
      <c r="L70" s="343"/>
      <c r="M70" s="343"/>
    </row>
    <row r="71" spans="1:29" ht="20.100000000000001" customHeight="1">
      <c r="A71" s="1378"/>
      <c r="B71" s="266" t="s">
        <v>2118</v>
      </c>
      <c r="C71" s="287">
        <f>C67+C55*9.8*(SIN(RADIANS(C44))+C70*COS(RADIANS(C44)))</f>
        <v>17.679885791327958</v>
      </c>
      <c r="D71" s="266" t="s">
        <v>2119</v>
      </c>
      <c r="L71" s="343"/>
      <c r="M71" s="343"/>
    </row>
    <row r="72" spans="1:29" ht="20.100000000000001" customHeight="1">
      <c r="A72" s="1378"/>
      <c r="B72" s="266" t="s">
        <v>1787</v>
      </c>
      <c r="C72" s="287">
        <f>C71*C41/2000/(2*PI()*C37*C42*C38)</f>
        <v>6.2529804822000221E-3</v>
      </c>
      <c r="D72" s="266" t="s">
        <v>1748</v>
      </c>
      <c r="L72" s="343"/>
      <c r="M72" s="343"/>
    </row>
    <row r="73" spans="1:29" ht="20.100000000000001" customHeight="1">
      <c r="A73" s="1378"/>
      <c r="B73" s="266" t="s">
        <v>2121</v>
      </c>
      <c r="C73" s="287">
        <f>(C61+C65)/10000*C69</f>
        <v>9.5272439458951141E-2</v>
      </c>
      <c r="D73" s="266" t="s">
        <v>1790</v>
      </c>
      <c r="E73" s="333"/>
      <c r="L73" s="343"/>
      <c r="M73" s="343"/>
    </row>
    <row r="74" spans="1:29" ht="20.100000000000001" customHeight="1">
      <c r="A74" s="1378"/>
      <c r="B74" s="266" t="s">
        <v>1636</v>
      </c>
      <c r="C74" s="326">
        <v>1.2</v>
      </c>
      <c r="D74" s="266" t="s">
        <v>1799</v>
      </c>
      <c r="L74" s="343"/>
    </row>
    <row r="75" spans="1:29" ht="20.100000000000001" customHeight="1">
      <c r="A75" s="1378"/>
      <c r="B75" s="266" t="s">
        <v>1766</v>
      </c>
      <c r="C75" s="284">
        <f>C74*(C72+C73)</f>
        <v>0.12183050392938138</v>
      </c>
      <c r="D75" s="266" t="s">
        <v>1738</v>
      </c>
    </row>
    <row r="76" spans="1:29" ht="20.100000000000001" customHeight="1">
      <c r="A76" s="1379"/>
      <c r="B76" s="345" t="s">
        <v>1765</v>
      </c>
      <c r="C76" s="284" t="str">
        <f>IF(C75&lt;=C66,"计算T≤电机Tm","计算T＞电机Tm")</f>
        <v>计算T≤电机Tm</v>
      </c>
      <c r="D76" s="496" t="str">
        <f>IF(C75&lt;=C66,"校验合格","不合格，请选择转矩更大电机")</f>
        <v>校验合格</v>
      </c>
    </row>
    <row r="77" spans="1:29" ht="20.100000000000001" customHeight="1">
      <c r="A77" s="1369" t="s">
        <v>1676</v>
      </c>
      <c r="B77" s="266" t="s">
        <v>1660</v>
      </c>
      <c r="C77" s="723" t="str">
        <f>IF(C75&lt;=C66,C64,"请检查转矩")</f>
        <v>60SG-M01330</v>
      </c>
      <c r="D77" s="456"/>
    </row>
    <row r="78" spans="1:29" ht="20.100000000000001" customHeight="1">
      <c r="A78" s="1370"/>
      <c r="B78" s="491" t="s">
        <v>1772</v>
      </c>
      <c r="C78" s="497">
        <v>1.8</v>
      </c>
      <c r="D78" s="493" t="s">
        <v>1773</v>
      </c>
    </row>
    <row r="79" spans="1:29" ht="20.100000000000001" customHeight="1">
      <c r="A79" s="1371"/>
      <c r="B79" s="491" t="s">
        <v>1774</v>
      </c>
      <c r="C79" s="498" t="s">
        <v>1670</v>
      </c>
      <c r="D79" s="491" t="str">
        <f>IF(C79="不细分",IF(C78&lt;C54,"合格","不合格，需要再细分"),IF(C78/C54&lt;C79,"合格","不合格，需要再细分"))</f>
        <v>合格</v>
      </c>
    </row>
    <row r="80" spans="1:29" ht="20.100000000000001" customHeight="1">
      <c r="A80" s="1372" t="s">
        <v>1864</v>
      </c>
      <c r="B80" s="1372"/>
      <c r="C80" s="1372"/>
      <c r="D80" s="1372"/>
    </row>
    <row r="81" spans="1:10" ht="20.100000000000001" customHeight="1">
      <c r="A81" s="507" t="s">
        <v>753</v>
      </c>
      <c r="B81" s="266" t="s">
        <v>754</v>
      </c>
      <c r="C81" s="267" t="s">
        <v>755</v>
      </c>
      <c r="D81" s="266" t="s">
        <v>762</v>
      </c>
    </row>
    <row r="82" spans="1:10" ht="20.100000000000001" customHeight="1">
      <c r="A82" s="1369" t="s">
        <v>1759</v>
      </c>
      <c r="B82" s="266" t="s">
        <v>1686</v>
      </c>
      <c r="C82" s="326">
        <v>2</v>
      </c>
      <c r="D82" s="266"/>
    </row>
    <row r="83" spans="1:10" ht="20.100000000000001" customHeight="1">
      <c r="A83" s="1370"/>
      <c r="B83" s="266" t="s">
        <v>2065</v>
      </c>
      <c r="C83" s="326">
        <v>0.8</v>
      </c>
      <c r="D83" s="266"/>
    </row>
    <row r="84" spans="1:10" ht="20.100000000000001" customHeight="1">
      <c r="A84" s="1370"/>
      <c r="B84" s="266" t="s">
        <v>1671</v>
      </c>
      <c r="C84" s="326">
        <v>45</v>
      </c>
      <c r="D84" s="266"/>
    </row>
    <row r="85" spans="1:10" ht="20.100000000000001" customHeight="1">
      <c r="A85" s="1370"/>
      <c r="B85" s="266" t="s">
        <v>1672</v>
      </c>
      <c r="C85" s="326">
        <v>60</v>
      </c>
      <c r="D85" s="266"/>
    </row>
    <row r="86" spans="1:10" ht="20.100000000000001" customHeight="1">
      <c r="A86" s="1370"/>
      <c r="B86" s="266" t="s">
        <v>1751</v>
      </c>
      <c r="C86" s="326">
        <v>0.9</v>
      </c>
      <c r="D86" s="266"/>
    </row>
    <row r="87" spans="1:10" ht="20.100000000000001" customHeight="1">
      <c r="A87" s="1370"/>
      <c r="B87" s="266" t="s">
        <v>1645</v>
      </c>
      <c r="C87" s="417">
        <v>500</v>
      </c>
      <c r="D87" s="266"/>
    </row>
    <row r="88" spans="1:10" ht="20.100000000000001" customHeight="1">
      <c r="A88" s="1370"/>
      <c r="B88" s="266" t="s">
        <v>1662</v>
      </c>
      <c r="C88" s="417">
        <v>20</v>
      </c>
      <c r="D88" s="266"/>
    </row>
    <row r="89" spans="1:10" ht="20.100000000000001" customHeight="1">
      <c r="A89" s="1370"/>
      <c r="B89" s="266" t="s">
        <v>1646</v>
      </c>
      <c r="C89" s="417">
        <v>15</v>
      </c>
      <c r="D89" s="266"/>
    </row>
    <row r="90" spans="1:10" ht="20.100000000000001" customHeight="1">
      <c r="A90" s="1370"/>
      <c r="B90" s="266" t="s">
        <v>1657</v>
      </c>
      <c r="C90" s="417">
        <v>0.2</v>
      </c>
      <c r="D90" s="266"/>
    </row>
    <row r="91" spans="1:10" ht="20.100000000000001" customHeight="1">
      <c r="A91" s="1370"/>
      <c r="B91" s="266" t="s">
        <v>1647</v>
      </c>
      <c r="C91" s="417">
        <v>0.2</v>
      </c>
      <c r="D91" s="266"/>
    </row>
    <row r="92" spans="1:10" ht="20.100000000000001" customHeight="1">
      <c r="A92" s="1370"/>
      <c r="B92" s="266" t="s">
        <v>1648</v>
      </c>
      <c r="C92" s="417">
        <v>1</v>
      </c>
      <c r="D92" s="266"/>
    </row>
    <row r="93" spans="1:10" ht="20.100000000000001" customHeight="1">
      <c r="A93" s="1370"/>
      <c r="B93" s="266" t="s">
        <v>1649</v>
      </c>
      <c r="C93" s="267">
        <f>60/C89</f>
        <v>4</v>
      </c>
      <c r="D93" s="266"/>
    </row>
    <row r="94" spans="1:10" ht="20.100000000000001" customHeight="1">
      <c r="A94" s="1370"/>
      <c r="B94" s="266" t="s">
        <v>1752</v>
      </c>
      <c r="C94" s="267">
        <f>2*C87/(C93-2*C92-C90-C91)/1000</f>
        <v>0.625</v>
      </c>
      <c r="D94" s="266"/>
      <c r="J94" s="262">
        <v>0.05</v>
      </c>
    </row>
    <row r="95" spans="1:10" ht="20.100000000000001" customHeight="1">
      <c r="A95" s="1370"/>
      <c r="B95" s="266" t="s">
        <v>1655</v>
      </c>
      <c r="C95" s="287">
        <f>C94*1000/(PI()*C84)*C82*60</f>
        <v>530.51647697298438</v>
      </c>
      <c r="D95" s="266"/>
    </row>
    <row r="96" spans="1:10" ht="20.100000000000001" customHeight="1">
      <c r="A96" s="1371"/>
      <c r="B96" s="345" t="s">
        <v>1761</v>
      </c>
      <c r="C96" s="284" t="str">
        <f>IF(C95&lt;=1000,ROUND(C95,2)&amp;"≤1000",IF(C95&lt;=3000,"1000＜n0≤3000",IF(C95&lt;=5000,"3000＜n0≤5000",ROUND(C95,2)&amp;"＞3000")))</f>
        <v>530.52≤1000</v>
      </c>
      <c r="D96" s="495" t="str">
        <f>IF(C95&lt;=1000,"可以使用步进/伺服电机",IF(C95&lt;=3000,"可用伺服电机，勿用步进电机",IF(C95&lt;=3000,"慎用伺服电机，禁用步进电机","禁用步进/伺服电机,请减小减速比再试")))</f>
        <v>可以使用步进/伺服电机</v>
      </c>
      <c r="J96" s="262" t="s">
        <v>2117</v>
      </c>
    </row>
    <row r="97" spans="1:11" ht="20.100000000000001" customHeight="1">
      <c r="A97" s="1363" t="s">
        <v>1815</v>
      </c>
      <c r="B97" s="266" t="s">
        <v>1643</v>
      </c>
      <c r="C97" s="459">
        <v>0.5</v>
      </c>
      <c r="D97" s="266"/>
    </row>
    <row r="98" spans="1:11" ht="20.100000000000001" customHeight="1">
      <c r="A98" s="1364"/>
      <c r="B98" s="266" t="s">
        <v>1631</v>
      </c>
      <c r="C98" s="369" t="s">
        <v>1795</v>
      </c>
      <c r="D98" s="345" t="s">
        <v>1818</v>
      </c>
    </row>
    <row r="99" spans="1:11" ht="20.100000000000001" customHeight="1">
      <c r="A99" s="1365"/>
      <c r="B99" s="266" t="s">
        <v>1644</v>
      </c>
      <c r="C99" s="284">
        <f>IF(C98="单向",C97/(PI()*C84)*360*C82,IF(C98="往复",C97/2/(PI()*C84)*360*C82,"请选择转动方向"))</f>
        <v>1.2732395447351628</v>
      </c>
      <c r="D99" s="285" t="str">
        <f>"细分步距角须≤"&amp;ROUND(C99,2)</f>
        <v>细分步距角须≤1.27</v>
      </c>
    </row>
    <row r="100" spans="1:11" ht="20.100000000000001" customHeight="1">
      <c r="A100" s="1375" t="s">
        <v>2125</v>
      </c>
      <c r="B100" s="266" t="s">
        <v>2120</v>
      </c>
      <c r="C100" s="720">
        <v>0</v>
      </c>
      <c r="D100" s="266" t="s">
        <v>2147</v>
      </c>
      <c r="J100" s="262">
        <v>2.5000000000000001E-2</v>
      </c>
      <c r="K100" s="262" t="s">
        <v>2116</v>
      </c>
    </row>
    <row r="101" spans="1:11" ht="20.100000000000001" customHeight="1">
      <c r="A101" s="1376"/>
      <c r="B101" s="266" t="s">
        <v>1658</v>
      </c>
      <c r="C101" s="430">
        <v>0.02</v>
      </c>
      <c r="D101" s="266" t="s">
        <v>1735</v>
      </c>
    </row>
    <row r="102" spans="1:11" ht="20.100000000000001" customHeight="1">
      <c r="A102" s="1376"/>
      <c r="B102" s="266" t="s">
        <v>1753</v>
      </c>
      <c r="C102" s="430">
        <v>2</v>
      </c>
      <c r="D102" s="266"/>
      <c r="J102" s="262">
        <f>J100*G98</f>
        <v>0</v>
      </c>
    </row>
    <row r="103" spans="1:11" ht="20.100000000000001" customHeight="1">
      <c r="A103" s="1376"/>
      <c r="B103" s="266" t="s">
        <v>1754</v>
      </c>
      <c r="C103" s="430">
        <v>1</v>
      </c>
      <c r="D103" s="266" t="s">
        <v>1757</v>
      </c>
    </row>
    <row r="104" spans="1:11" ht="20.100000000000001" customHeight="1">
      <c r="A104" s="1376"/>
      <c r="B104" s="266" t="s">
        <v>2069</v>
      </c>
      <c r="C104" s="287">
        <f>C102+C103</f>
        <v>3</v>
      </c>
      <c r="D104" s="266" t="s">
        <v>1853</v>
      </c>
    </row>
    <row r="105" spans="1:11" ht="20.100000000000001" customHeight="1">
      <c r="A105" s="1376"/>
      <c r="B105" s="266" t="s">
        <v>2122</v>
      </c>
      <c r="C105" s="287">
        <f>C94/C90</f>
        <v>3.125</v>
      </c>
      <c r="D105" s="266" t="s">
        <v>1750</v>
      </c>
      <c r="E105" s="1368" t="s">
        <v>2155</v>
      </c>
      <c r="F105" s="1366" t="s">
        <v>2132</v>
      </c>
      <c r="G105" s="1367"/>
      <c r="H105" s="1367"/>
      <c r="I105" s="1367"/>
    </row>
    <row r="106" spans="1:11" ht="20.100000000000001" customHeight="1">
      <c r="A106" s="1376"/>
      <c r="B106" s="266" t="s">
        <v>1745</v>
      </c>
      <c r="C106" s="287">
        <f>2*PI()*C95/C90/60</f>
        <v>277.77777777777766</v>
      </c>
      <c r="D106" s="266" t="s">
        <v>1734</v>
      </c>
      <c r="E106" s="1368"/>
      <c r="F106" s="1101"/>
      <c r="G106" s="1101"/>
      <c r="H106" s="1101"/>
      <c r="I106" s="1101"/>
    </row>
    <row r="107" spans="1:11" ht="20.100000000000001" customHeight="1">
      <c r="A107" s="1376"/>
      <c r="B107" s="266" t="s">
        <v>2150</v>
      </c>
      <c r="C107" s="287">
        <f>C100+C104*9.8*(SIN(RADIANS(C88))+C101*COS(RADIANS(C88)))</f>
        <v>10.607931474796775</v>
      </c>
      <c r="D107" s="266" t="s">
        <v>2146</v>
      </c>
      <c r="E107" s="1368"/>
      <c r="F107" s="1081" t="s">
        <v>1825</v>
      </c>
      <c r="G107" s="544" t="s">
        <v>2128</v>
      </c>
      <c r="H107" s="550">
        <f>C107+C108</f>
        <v>19.982931474796775</v>
      </c>
      <c r="I107" s="544" t="s">
        <v>2129</v>
      </c>
    </row>
    <row r="108" spans="1:11" ht="20.100000000000001" customHeight="1">
      <c r="A108" s="1377"/>
      <c r="B108" s="266" t="s">
        <v>2123</v>
      </c>
      <c r="C108" s="452">
        <f>C104*C105</f>
        <v>9.375</v>
      </c>
      <c r="D108" s="266" t="s">
        <v>2124</v>
      </c>
      <c r="E108" s="1368"/>
      <c r="F108" s="1082"/>
      <c r="G108" s="266" t="s">
        <v>2130</v>
      </c>
      <c r="H108" s="287">
        <f>H107*C84/2000/(C82*C83*C86)</f>
        <v>0.31223330429369955</v>
      </c>
      <c r="I108" s="266" t="s">
        <v>2131</v>
      </c>
    </row>
    <row r="109" spans="1:11" ht="20.100000000000001" customHeight="1">
      <c r="A109" s="1081" t="s">
        <v>1816</v>
      </c>
      <c r="B109" s="266" t="s">
        <v>1819</v>
      </c>
      <c r="C109" s="452">
        <f>C104*(C84/10)^2/4/C86</f>
        <v>16.875</v>
      </c>
      <c r="D109" s="266" t="s">
        <v>1854</v>
      </c>
      <c r="E109" s="1368"/>
      <c r="F109" s="1082"/>
      <c r="G109" s="266" t="s">
        <v>1636</v>
      </c>
      <c r="H109" s="326">
        <v>2</v>
      </c>
      <c r="I109" s="266" t="s">
        <v>1798</v>
      </c>
    </row>
    <row r="110" spans="1:11" ht="20.100000000000001" customHeight="1">
      <c r="A110" s="1082"/>
      <c r="B110" s="266" t="s">
        <v>1820</v>
      </c>
      <c r="C110" s="326">
        <v>5</v>
      </c>
      <c r="D110" s="266" t="s">
        <v>1629</v>
      </c>
      <c r="E110" s="1368"/>
      <c r="F110" s="1083"/>
      <c r="G110" s="266" t="s">
        <v>1637</v>
      </c>
      <c r="H110" s="284">
        <f>H108*H109</f>
        <v>0.62446660858739911</v>
      </c>
      <c r="I110" s="266" t="s">
        <v>1797</v>
      </c>
    </row>
    <row r="111" spans="1:11" ht="20.100000000000001" customHeight="1">
      <c r="A111" s="1082"/>
      <c r="B111" s="266" t="s">
        <v>1821</v>
      </c>
      <c r="C111" s="326">
        <v>8</v>
      </c>
      <c r="D111" s="288" t="s">
        <v>1755</v>
      </c>
      <c r="E111" s="1368"/>
      <c r="F111" s="394" t="s">
        <v>1808</v>
      </c>
      <c r="G111" s="266" t="s">
        <v>1786</v>
      </c>
      <c r="H111" s="284">
        <f>C116</f>
        <v>1.7196874999999998</v>
      </c>
      <c r="I111" s="451" t="s">
        <v>1807</v>
      </c>
    </row>
    <row r="112" spans="1:11" ht="20.100000000000001" customHeight="1">
      <c r="A112" s="1082"/>
      <c r="B112" s="266" t="s">
        <v>1822</v>
      </c>
      <c r="C112" s="501">
        <f>C111/((C85/C84)^2*C86)</f>
        <v>5</v>
      </c>
      <c r="D112" s="288" t="s">
        <v>1783</v>
      </c>
      <c r="E112" s="1368"/>
      <c r="F112" s="1081" t="s">
        <v>1810</v>
      </c>
      <c r="G112" s="266" t="s">
        <v>1660</v>
      </c>
      <c r="H112" s="385" t="s">
        <v>1756</v>
      </c>
      <c r="I112" s="456" t="s">
        <v>1640</v>
      </c>
    </row>
    <row r="113" spans="1:9" ht="20.100000000000001" customHeight="1">
      <c r="A113" s="1082"/>
      <c r="B113" s="266" t="s">
        <v>1824</v>
      </c>
      <c r="C113" s="326">
        <v>0.2</v>
      </c>
      <c r="D113" s="510" t="s">
        <v>1863</v>
      </c>
      <c r="E113" s="1368"/>
      <c r="F113" s="1082"/>
      <c r="G113" s="266" t="s">
        <v>1661</v>
      </c>
      <c r="H113" s="460">
        <v>1.8</v>
      </c>
      <c r="I113" s="345" t="s">
        <v>363</v>
      </c>
    </row>
    <row r="114" spans="1:9" ht="20.100000000000001" customHeight="1">
      <c r="A114" s="1082"/>
      <c r="B114" s="266" t="s">
        <v>1664</v>
      </c>
      <c r="C114" s="287">
        <f>(C110+C112+C109)/(C82^2*C83)+C113</f>
        <v>8.5984374999999993</v>
      </c>
      <c r="D114" s="266" t="s">
        <v>1784</v>
      </c>
      <c r="F114" s="1083"/>
      <c r="G114" s="266" t="s">
        <v>1669</v>
      </c>
      <c r="H114" s="341">
        <v>2</v>
      </c>
      <c r="I114" s="285" t="str">
        <f>IF(H114="不细分",IF(H113&lt;C99,"合格","不合格，需要再细分"),IF(H113/C99&lt;H114,"合格","不合格，需要再细分"))</f>
        <v>合格</v>
      </c>
    </row>
    <row r="115" spans="1:9" ht="20.100000000000001" customHeight="1">
      <c r="A115" s="1082"/>
      <c r="B115" s="266" t="s">
        <v>1785</v>
      </c>
      <c r="C115" s="326">
        <v>5</v>
      </c>
      <c r="D115" s="500" t="s">
        <v>1780</v>
      </c>
    </row>
    <row r="116" spans="1:9" ht="20.100000000000001" customHeight="1">
      <c r="A116" s="1082"/>
      <c r="B116" s="266" t="s">
        <v>1786</v>
      </c>
      <c r="C116" s="284">
        <f>C114/C115</f>
        <v>1.7196874999999998</v>
      </c>
      <c r="D116" s="451" t="str">
        <f>"转子惯量须≥"&amp;ROUND(C116,2)</f>
        <v>转子惯量须≥1.72</v>
      </c>
      <c r="E116" s="503"/>
    </row>
    <row r="117" spans="1:9" ht="20.100000000000001" customHeight="1">
      <c r="A117" s="1082"/>
      <c r="B117" s="345" t="s">
        <v>1739</v>
      </c>
      <c r="C117" s="722" t="s">
        <v>1668</v>
      </c>
      <c r="D117" s="451" t="s">
        <v>1483</v>
      </c>
    </row>
    <row r="118" spans="1:9" ht="20.100000000000001" customHeight="1">
      <c r="A118" s="1082"/>
      <c r="B118" s="266" t="s">
        <v>1740</v>
      </c>
      <c r="C118" s="722">
        <v>1.95</v>
      </c>
      <c r="D118" s="451" t="s">
        <v>1483</v>
      </c>
    </row>
    <row r="119" spans="1:9" ht="20.100000000000001" customHeight="1">
      <c r="A119" s="1083"/>
      <c r="B119" s="266" t="s">
        <v>1763</v>
      </c>
      <c r="C119" s="722">
        <v>2.4</v>
      </c>
      <c r="D119" s="451" t="s">
        <v>1483</v>
      </c>
    </row>
    <row r="120" spans="1:9" ht="20.100000000000001" customHeight="1">
      <c r="A120" s="395"/>
      <c r="B120" s="266" t="s">
        <v>1787</v>
      </c>
      <c r="C120" s="287">
        <f>C107*C84/2000/(C82*C83*C86)</f>
        <v>0.16574892929369958</v>
      </c>
      <c r="D120" s="266" t="s">
        <v>1796</v>
      </c>
    </row>
    <row r="121" spans="1:9" ht="20.100000000000001" customHeight="1">
      <c r="A121" s="395" t="s">
        <v>1793</v>
      </c>
      <c r="B121" s="266" t="s">
        <v>2121</v>
      </c>
      <c r="C121" s="287">
        <f>(C114+C118)/10000*C106</f>
        <v>0.29301215277777759</v>
      </c>
      <c r="D121" s="266" t="s">
        <v>1790</v>
      </c>
    </row>
    <row r="122" spans="1:9" ht="20.100000000000001" customHeight="1">
      <c r="A122" s="395"/>
      <c r="B122" s="266" t="s">
        <v>1636</v>
      </c>
      <c r="C122" s="326">
        <v>1.2</v>
      </c>
      <c r="D122" s="266" t="s">
        <v>1799</v>
      </c>
    </row>
    <row r="123" spans="1:9" ht="20.100000000000001" customHeight="1">
      <c r="A123" s="395"/>
      <c r="B123" s="266" t="s">
        <v>1766</v>
      </c>
      <c r="C123" s="284">
        <f>C122*(C120+C121)</f>
        <v>0.55051329848577257</v>
      </c>
      <c r="D123" s="266" t="s">
        <v>1738</v>
      </c>
    </row>
    <row r="124" spans="1:9" ht="20.100000000000001" customHeight="1">
      <c r="A124" s="449"/>
      <c r="B124" s="345" t="s">
        <v>1765</v>
      </c>
      <c r="C124" s="284" t="str">
        <f>IF(C123&lt;=C119,"计算T≤电机Tm","计算T＞电机Tm")</f>
        <v>计算T≤电机Tm</v>
      </c>
      <c r="D124" s="496" t="str">
        <f>IF(C123&lt;=C119,"校验合格","不合格，请选择转矩更大电机")</f>
        <v>校验合格</v>
      </c>
    </row>
    <row r="125" spans="1:9" ht="20.100000000000001" customHeight="1">
      <c r="A125" s="1369" t="s">
        <v>1676</v>
      </c>
      <c r="B125" s="266" t="s">
        <v>1639</v>
      </c>
      <c r="C125" s="723" t="str">
        <f>IF(C123&lt;=C119,C117,"请检查转矩")</f>
        <v>86YG250A</v>
      </c>
      <c r="D125" s="456"/>
    </row>
    <row r="126" spans="1:9" ht="20.100000000000001" customHeight="1">
      <c r="A126" s="1370"/>
      <c r="B126" s="380" t="s">
        <v>1641</v>
      </c>
      <c r="C126" s="460">
        <v>1.8</v>
      </c>
      <c r="D126" s="490" t="s">
        <v>1770</v>
      </c>
    </row>
    <row r="127" spans="1:9" ht="20.100000000000001" customHeight="1">
      <c r="A127" s="1371"/>
      <c r="B127" s="380" t="s">
        <v>1771</v>
      </c>
      <c r="C127" s="502" t="s">
        <v>1670</v>
      </c>
      <c r="D127" s="380" t="str">
        <f>IF(C127="不细分",IF(C126&lt;C104,"合格","不合格，需要再细分"),IF(C126/C104&lt;C127,"合格","不合格，需要再细分"))</f>
        <v>合格</v>
      </c>
    </row>
    <row r="128" spans="1:9" ht="20.100000000000001" customHeight="1">
      <c r="A128" s="1372" t="s">
        <v>1779</v>
      </c>
      <c r="B128" s="1372"/>
      <c r="C128" s="1372"/>
      <c r="D128" s="1372"/>
    </row>
    <row r="129" spans="1:9" ht="20.100000000000001" customHeight="1">
      <c r="A129" s="507" t="s">
        <v>753</v>
      </c>
      <c r="B129" s="266" t="s">
        <v>754</v>
      </c>
      <c r="C129" s="267" t="s">
        <v>755</v>
      </c>
      <c r="D129" s="266" t="s">
        <v>762</v>
      </c>
    </row>
    <row r="130" spans="1:9" ht="20.100000000000001" customHeight="1">
      <c r="A130" s="507" t="s">
        <v>1694</v>
      </c>
      <c r="B130" s="345" t="s">
        <v>1687</v>
      </c>
      <c r="C130" s="369" t="s">
        <v>1695</v>
      </c>
      <c r="D130" s="266"/>
    </row>
    <row r="131" spans="1:9" ht="20.100000000000001" customHeight="1">
      <c r="A131" s="1291" t="s">
        <v>1696</v>
      </c>
      <c r="B131" s="266" t="s">
        <v>1691</v>
      </c>
      <c r="C131" s="417">
        <v>500</v>
      </c>
      <c r="D131" s="266"/>
    </row>
    <row r="132" spans="1:9" ht="20.100000000000001" customHeight="1">
      <c r="A132" s="1291"/>
      <c r="B132" s="266" t="s">
        <v>1692</v>
      </c>
      <c r="C132" s="417">
        <v>15</v>
      </c>
      <c r="D132" s="266"/>
    </row>
    <row r="133" spans="1:9" ht="20.100000000000001" customHeight="1">
      <c r="A133" s="1291"/>
      <c r="B133" s="266" t="s">
        <v>1657</v>
      </c>
      <c r="C133" s="417">
        <v>0.2</v>
      </c>
      <c r="D133" s="266"/>
      <c r="F133" s="457"/>
      <c r="G133" s="458"/>
      <c r="H133" s="458"/>
      <c r="I133" s="458"/>
    </row>
    <row r="134" spans="1:9" ht="20.100000000000001" customHeight="1">
      <c r="A134" s="1291"/>
      <c r="B134" s="266" t="s">
        <v>1647</v>
      </c>
      <c r="C134" s="417">
        <v>0.2</v>
      </c>
      <c r="D134" s="266"/>
    </row>
    <row r="135" spans="1:9" ht="20.100000000000001" customHeight="1">
      <c r="A135" s="1291"/>
      <c r="B135" s="266" t="s">
        <v>1648</v>
      </c>
      <c r="C135" s="417">
        <v>1</v>
      </c>
      <c r="D135" s="266"/>
    </row>
    <row r="136" spans="1:9" ht="20.100000000000001" customHeight="1">
      <c r="A136" s="1291"/>
      <c r="B136" s="266" t="s">
        <v>1649</v>
      </c>
      <c r="C136" s="267">
        <f>60/C132</f>
        <v>4</v>
      </c>
      <c r="D136" s="266"/>
    </row>
    <row r="137" spans="1:9" ht="20.100000000000001" customHeight="1">
      <c r="A137" s="1291"/>
      <c r="B137" s="266" t="s">
        <v>1654</v>
      </c>
      <c r="C137" s="287">
        <f>2*C131/(2*(C136-C135)-C133-C134)/1000</f>
        <v>0.17857142857142858</v>
      </c>
      <c r="D137" s="266"/>
    </row>
    <row r="138" spans="1:9" ht="20.100000000000001" customHeight="1">
      <c r="A138" s="506" t="s">
        <v>1697</v>
      </c>
      <c r="B138" s="345" t="s">
        <v>1693</v>
      </c>
      <c r="C138" s="430"/>
      <c r="D138" s="345" t="s">
        <v>1698</v>
      </c>
    </row>
    <row r="139" spans="1:9" ht="20.100000000000001" customHeight="1">
      <c r="A139" s="1369" t="s">
        <v>1758</v>
      </c>
      <c r="B139" s="266" t="s">
        <v>1686</v>
      </c>
      <c r="C139" s="326">
        <v>2</v>
      </c>
      <c r="D139" s="266"/>
    </row>
    <row r="140" spans="1:9" ht="20.100000000000001" customHeight="1">
      <c r="A140" s="1370"/>
      <c r="B140" s="266" t="s">
        <v>1684</v>
      </c>
      <c r="C140" s="326">
        <v>0.7</v>
      </c>
      <c r="D140" s="266"/>
    </row>
    <row r="141" spans="1:9" ht="20.100000000000001" customHeight="1">
      <c r="A141" s="1370"/>
      <c r="B141" s="266" t="s">
        <v>1689</v>
      </c>
      <c r="C141" s="326">
        <v>45</v>
      </c>
      <c r="D141" s="266"/>
    </row>
    <row r="142" spans="1:9" ht="20.100000000000001" customHeight="1">
      <c r="A142" s="1370"/>
      <c r="B142" s="266" t="s">
        <v>1690</v>
      </c>
      <c r="C142" s="326">
        <v>45</v>
      </c>
      <c r="D142" s="266"/>
    </row>
    <row r="143" spans="1:9" ht="20.100000000000001" customHeight="1">
      <c r="A143" s="1370"/>
      <c r="B143" s="266" t="s">
        <v>1688</v>
      </c>
      <c r="C143" s="326">
        <v>0.9</v>
      </c>
      <c r="D143" s="266"/>
    </row>
    <row r="144" spans="1:9" ht="20.100000000000001" customHeight="1">
      <c r="A144" s="1370"/>
      <c r="B144" s="266" t="s">
        <v>1662</v>
      </c>
      <c r="C144" s="417">
        <v>0</v>
      </c>
      <c r="D144" s="266"/>
    </row>
    <row r="145" spans="1:9" ht="20.100000000000001" customHeight="1">
      <c r="A145" s="1370"/>
      <c r="B145" s="266" t="s">
        <v>1655</v>
      </c>
      <c r="C145" s="287">
        <f>IF(C130="间歇输送",C137*1000/(PI()*C141)*C139*60,IF(C130="连续输送",C138*1000/(PI()*C141)*C139*60,"请选择传送工况"))</f>
        <v>151.57613627799557</v>
      </c>
      <c r="D145" s="266"/>
    </row>
    <row r="146" spans="1:9" ht="20.100000000000001" customHeight="1">
      <c r="A146" s="1371"/>
      <c r="B146" s="345" t="s">
        <v>1761</v>
      </c>
      <c r="C146" s="284" t="str">
        <f>IF(C145&lt;=1000,ROUND(C145,2)&amp;"≤1000",IF(C145&lt;=3000,"1000＜n0≤3000",IF(C145&lt;=5000,"3000＜n0≤5000",ROUND(C145,2)&amp;"＞3000")))</f>
        <v>151.58≤1000</v>
      </c>
      <c r="D146" s="495" t="str">
        <f>IF(C145&lt;=1000,"可以使用步进/伺服电机",IF(C145&lt;=3000,"可用伺服电机，勿用步进电机",IF(C145&lt;=3000,"慎用伺服电机，禁用步进电机","禁用步进/伺服电机,请减小减速比再试")))</f>
        <v>可以使用步进/伺服电机</v>
      </c>
    </row>
    <row r="147" spans="1:9" ht="20.100000000000001" customHeight="1">
      <c r="A147" s="1373" t="s">
        <v>1817</v>
      </c>
      <c r="B147" s="266" t="s">
        <v>1643</v>
      </c>
      <c r="C147" s="417">
        <v>0.5</v>
      </c>
      <c r="D147" s="266"/>
    </row>
    <row r="148" spans="1:9" ht="20.100000000000001" customHeight="1">
      <c r="A148" s="1373"/>
      <c r="B148" s="266" t="s">
        <v>1644</v>
      </c>
      <c r="C148" s="284">
        <f>C147/(PI()*C141)*360*C139</f>
        <v>2.5464790894703255</v>
      </c>
      <c r="D148" s="285" t="str">
        <f>"细分步距角须≤"&amp;ROUND(C148,2)</f>
        <v>细分步距角须≤2.55</v>
      </c>
    </row>
    <row r="149" spans="1:9" ht="20.100000000000001" customHeight="1">
      <c r="A149" s="1375" t="s">
        <v>2125</v>
      </c>
      <c r="B149" s="266" t="s">
        <v>2148</v>
      </c>
      <c r="C149" s="549">
        <v>0</v>
      </c>
      <c r="D149" s="553" t="s">
        <v>2149</v>
      </c>
    </row>
    <row r="150" spans="1:9" ht="20.100000000000001" customHeight="1">
      <c r="A150" s="1376"/>
      <c r="B150" s="266" t="s">
        <v>2151</v>
      </c>
      <c r="C150" s="719" t="s">
        <v>1699</v>
      </c>
      <c r="D150" s="334">
        <f>IF(C150="滚筒支撑",0.05,IF(C150="钢板支撑",0.3))</f>
        <v>0.05</v>
      </c>
    </row>
    <row r="151" spans="1:9" ht="20.100000000000001" customHeight="1">
      <c r="A151" s="1376"/>
      <c r="B151" s="266" t="s">
        <v>2122</v>
      </c>
      <c r="C151" s="287">
        <f>IF(C130="间歇输送",C137/C133,0)</f>
        <v>0.89285714285714279</v>
      </c>
      <c r="D151" s="345"/>
    </row>
    <row r="152" spans="1:9" ht="20.100000000000001" customHeight="1">
      <c r="A152" s="1376"/>
      <c r="B152" s="266" t="s">
        <v>1745</v>
      </c>
      <c r="C152" s="287">
        <f>2*PI()*C145/C133/60</f>
        <v>79.365079365079353</v>
      </c>
      <c r="D152" s="266" t="s">
        <v>1734</v>
      </c>
    </row>
    <row r="153" spans="1:9" ht="20.100000000000001" customHeight="1">
      <c r="A153" s="1376"/>
      <c r="B153" s="266" t="s">
        <v>1753</v>
      </c>
      <c r="C153" s="430">
        <v>3</v>
      </c>
      <c r="D153" s="266"/>
    </row>
    <row r="154" spans="1:9" ht="20.100000000000001" customHeight="1">
      <c r="A154" s="1376"/>
      <c r="B154" s="266" t="s">
        <v>1801</v>
      </c>
      <c r="C154" s="430">
        <v>1</v>
      </c>
      <c r="D154" s="266"/>
    </row>
    <row r="155" spans="1:9" ht="20.100000000000001" customHeight="1">
      <c r="A155" s="1376"/>
      <c r="B155" s="266" t="s">
        <v>1855</v>
      </c>
      <c r="C155" s="504">
        <f>C153+C154</f>
        <v>4</v>
      </c>
      <c r="D155" s="266" t="s">
        <v>2145</v>
      </c>
    </row>
    <row r="156" spans="1:9" ht="20.100000000000001" customHeight="1">
      <c r="A156" s="1376"/>
      <c r="B156" s="266" t="s">
        <v>2152</v>
      </c>
      <c r="C156" s="287">
        <f>C155*9.8*(D150*COS(RADIANS(C144))+SIN(RADIANS(C144)))</f>
        <v>1.9600000000000002</v>
      </c>
      <c r="D156" s="266" t="s">
        <v>2146</v>
      </c>
    </row>
    <row r="157" spans="1:9" ht="20.100000000000001" customHeight="1">
      <c r="A157" s="1377"/>
      <c r="B157" s="266" t="s">
        <v>2123</v>
      </c>
      <c r="C157" s="452">
        <f>C155*C151</f>
        <v>3.5714285714285712</v>
      </c>
      <c r="D157" s="266" t="s">
        <v>2126</v>
      </c>
      <c r="E157" s="1368" t="s">
        <v>2156</v>
      </c>
      <c r="F157" s="1366" t="s">
        <v>2132</v>
      </c>
      <c r="G157" s="1367"/>
      <c r="H157" s="1367"/>
      <c r="I157" s="1367"/>
    </row>
    <row r="158" spans="1:9" ht="20.100000000000001" customHeight="1">
      <c r="A158" s="1375" t="s">
        <v>1816</v>
      </c>
      <c r="B158" s="266" t="s">
        <v>2127</v>
      </c>
      <c r="C158" s="452">
        <f>C155*(C141/10)^2/4/C143</f>
        <v>22.5</v>
      </c>
      <c r="D158" s="266" t="s">
        <v>1854</v>
      </c>
      <c r="E158" s="1368"/>
      <c r="F158" s="1101"/>
      <c r="G158" s="1101"/>
      <c r="H158" s="1101"/>
      <c r="I158" s="1101"/>
    </row>
    <row r="159" spans="1:9" ht="20.100000000000001" customHeight="1">
      <c r="A159" s="1376"/>
      <c r="B159" s="266" t="s">
        <v>1700</v>
      </c>
      <c r="C159" s="326">
        <v>1</v>
      </c>
      <c r="D159" s="1086" t="s">
        <v>1701</v>
      </c>
      <c r="E159" s="1368"/>
      <c r="F159" s="1081" t="s">
        <v>1826</v>
      </c>
      <c r="G159" s="544" t="s">
        <v>2128</v>
      </c>
      <c r="H159" s="550">
        <f>C156+C157</f>
        <v>5.5314285714285711</v>
      </c>
      <c r="I159" s="544" t="s">
        <v>2129</v>
      </c>
    </row>
    <row r="160" spans="1:9" ht="20.100000000000001" customHeight="1">
      <c r="A160" s="1376"/>
      <c r="B160" s="266" t="s">
        <v>1802</v>
      </c>
      <c r="C160" s="326">
        <v>1</v>
      </c>
      <c r="D160" s="1087"/>
      <c r="E160" s="1368"/>
      <c r="F160" s="1082"/>
      <c r="G160" s="266" t="s">
        <v>2130</v>
      </c>
      <c r="H160" s="287">
        <f>H159*C141/2000/(C139*C140*C143)</f>
        <v>9.8775510204081624E-2</v>
      </c>
      <c r="I160" s="266" t="s">
        <v>2131</v>
      </c>
    </row>
    <row r="161" spans="1:9" ht="20.100000000000001" customHeight="1">
      <c r="A161" s="1376"/>
      <c r="B161" s="266" t="s">
        <v>1804</v>
      </c>
      <c r="C161" s="504">
        <f>C160/C143</f>
        <v>1.1111111111111112</v>
      </c>
      <c r="D161" s="288" t="s">
        <v>1803</v>
      </c>
      <c r="E161" s="1368"/>
      <c r="F161" s="1082"/>
      <c r="G161" s="266" t="s">
        <v>1636</v>
      </c>
      <c r="H161" s="326">
        <v>2</v>
      </c>
      <c r="I161" s="345" t="s">
        <v>1806</v>
      </c>
    </row>
    <row r="162" spans="1:9" ht="20.100000000000001" customHeight="1">
      <c r="A162" s="1376"/>
      <c r="B162" s="266" t="s">
        <v>1824</v>
      </c>
      <c r="C162" s="326">
        <v>0.1</v>
      </c>
      <c r="D162" s="509" t="s">
        <v>1862</v>
      </c>
      <c r="E162" s="1368"/>
      <c r="F162" s="1083"/>
      <c r="G162" s="266" t="s">
        <v>1637</v>
      </c>
      <c r="H162" s="284">
        <f>H160/C139*H161/C140</f>
        <v>0.1411078717201166</v>
      </c>
      <c r="I162" s="266" t="s">
        <v>1659</v>
      </c>
    </row>
    <row r="163" spans="1:9" ht="20.100000000000001" customHeight="1">
      <c r="A163" s="1376"/>
      <c r="B163" s="266" t="s">
        <v>1664</v>
      </c>
      <c r="C163" s="287">
        <f>(C158+C159+C161)/(C139^2*C140)+C162</f>
        <v>8.8896825396825392</v>
      </c>
      <c r="D163" s="266" t="s">
        <v>1784</v>
      </c>
      <c r="E163" s="1368"/>
      <c r="F163" s="394" t="s">
        <v>1808</v>
      </c>
      <c r="G163" s="266" t="s">
        <v>1651</v>
      </c>
      <c r="H163" s="455">
        <f>C165</f>
        <v>1.7779365079365079</v>
      </c>
      <c r="I163" s="505" t="s">
        <v>1807</v>
      </c>
    </row>
    <row r="164" spans="1:9" ht="20.100000000000001" customHeight="1">
      <c r="A164" s="1376"/>
      <c r="B164" s="266" t="s">
        <v>1785</v>
      </c>
      <c r="C164" s="326">
        <v>5</v>
      </c>
      <c r="D164" s="500" t="s">
        <v>1780</v>
      </c>
      <c r="E164" s="1368"/>
      <c r="F164" s="1081" t="s">
        <v>1809</v>
      </c>
      <c r="G164" s="266" t="s">
        <v>1660</v>
      </c>
      <c r="H164" s="385" t="s">
        <v>1667</v>
      </c>
      <c r="I164" s="456" t="s">
        <v>1640</v>
      </c>
    </row>
    <row r="165" spans="1:9" ht="20.100000000000001" customHeight="1">
      <c r="A165" s="1376"/>
      <c r="B165" s="266" t="s">
        <v>1786</v>
      </c>
      <c r="C165" s="284">
        <f>C163/C164</f>
        <v>1.7779365079365079</v>
      </c>
      <c r="D165" s="451" t="str">
        <f>"转子惯量须≥"&amp;ROUND(C165,2)</f>
        <v>转子惯量须≥1.78</v>
      </c>
      <c r="E165" s="1368"/>
      <c r="F165" s="1082"/>
      <c r="G165" s="266" t="s">
        <v>1661</v>
      </c>
      <c r="H165" s="460">
        <v>1.8</v>
      </c>
      <c r="I165" s="345" t="s">
        <v>363</v>
      </c>
    </row>
    <row r="166" spans="1:9" ht="20.100000000000001" customHeight="1">
      <c r="A166" s="1376"/>
      <c r="B166" s="345" t="s">
        <v>1739</v>
      </c>
      <c r="C166" s="722" t="s">
        <v>1805</v>
      </c>
      <c r="D166" s="451" t="s">
        <v>1483</v>
      </c>
      <c r="F166" s="1083"/>
      <c r="G166" s="266" t="s">
        <v>1669</v>
      </c>
      <c r="H166" s="341" t="s">
        <v>1670</v>
      </c>
      <c r="I166" s="285" t="str">
        <f>IF(H166="不细分",IF(H165&lt;C148,"合格","不合格，需要再细分"),IF(H165/C148&lt;H166,"合格","不合格，需要再细分"))</f>
        <v>合格</v>
      </c>
    </row>
    <row r="167" spans="1:9" ht="20.100000000000001" customHeight="1">
      <c r="A167" s="1376"/>
      <c r="B167" s="266" t="s">
        <v>1740</v>
      </c>
      <c r="C167" s="722">
        <v>2.5499999999999998</v>
      </c>
      <c r="D167" s="451" t="s">
        <v>1483</v>
      </c>
    </row>
    <row r="168" spans="1:9" ht="20.100000000000001" customHeight="1">
      <c r="A168" s="1377"/>
      <c r="B168" s="266" t="s">
        <v>1763</v>
      </c>
      <c r="C168" s="722">
        <v>4</v>
      </c>
      <c r="D168" s="451" t="s">
        <v>1483</v>
      </c>
    </row>
    <row r="169" spans="1:9" ht="20.100000000000001" customHeight="1">
      <c r="A169" s="395"/>
      <c r="B169" s="266" t="s">
        <v>1787</v>
      </c>
      <c r="C169" s="287">
        <f>C156*C141/2000/(C139*C140*C143)</f>
        <v>3.5000000000000003E-2</v>
      </c>
      <c r="D169" s="266" t="s">
        <v>1796</v>
      </c>
    </row>
    <row r="170" spans="1:9" ht="20.100000000000001" customHeight="1">
      <c r="A170" s="395" t="s">
        <v>1793</v>
      </c>
      <c r="B170" s="266" t="s">
        <v>2121</v>
      </c>
      <c r="C170" s="287">
        <f>IF(C130="间歇输送",(C163+C167)/10000*C152,0)</f>
        <v>9.0791131267321731E-2</v>
      </c>
      <c r="D170" s="266" t="s">
        <v>1790</v>
      </c>
    </row>
    <row r="171" spans="1:9" ht="20.100000000000001" customHeight="1">
      <c r="A171" s="395"/>
      <c r="B171" s="266" t="s">
        <v>1636</v>
      </c>
      <c r="C171" s="326">
        <v>1.5</v>
      </c>
      <c r="D171" s="266" t="s">
        <v>2157</v>
      </c>
    </row>
    <row r="172" spans="1:9" ht="20.100000000000001" customHeight="1">
      <c r="A172" s="395"/>
      <c r="B172" s="266" t="s">
        <v>1766</v>
      </c>
      <c r="C172" s="284">
        <f>C171*(C169+C170)</f>
        <v>0.18868669690098258</v>
      </c>
      <c r="D172" s="266" t="s">
        <v>1738</v>
      </c>
    </row>
    <row r="173" spans="1:9" ht="20.100000000000001" customHeight="1">
      <c r="A173" s="449"/>
      <c r="B173" s="345" t="s">
        <v>1765</v>
      </c>
      <c r="C173" s="284" t="str">
        <f>IF(C172&lt;=C168,"计算T≤电机Tm","计算T＞电机Tm")</f>
        <v>计算T≤电机Tm</v>
      </c>
      <c r="D173" s="496" t="str">
        <f>IF(C172&lt;=C168,"校验合格","不合格，请选择转矩更大电机")</f>
        <v>校验合格</v>
      </c>
    </row>
    <row r="174" spans="1:9" ht="20.100000000000001" customHeight="1">
      <c r="A174" s="1369" t="s">
        <v>1676</v>
      </c>
      <c r="B174" s="266" t="s">
        <v>1639</v>
      </c>
      <c r="C174" s="723" t="str">
        <f>IF(C172&lt;=C168,C166,"请检查转矩")</f>
        <v>86YG250B</v>
      </c>
      <c r="D174" s="456"/>
    </row>
    <row r="175" spans="1:9" ht="20.100000000000001" customHeight="1">
      <c r="A175" s="1370"/>
      <c r="B175" s="380" t="s">
        <v>1641</v>
      </c>
      <c r="C175" s="460">
        <v>1.8</v>
      </c>
      <c r="D175" s="490" t="s">
        <v>1770</v>
      </c>
    </row>
    <row r="176" spans="1:9" ht="20.100000000000001" customHeight="1">
      <c r="A176" s="1371"/>
      <c r="B176" s="380" t="s">
        <v>1771</v>
      </c>
      <c r="C176" s="502" t="s">
        <v>1670</v>
      </c>
      <c r="D176" s="380" t="e">
        <f>IF(C176="不细分",IF(C175&lt;#REF!,"合格","不合格，需要再细分"),IF(C175/#REF!&lt;C176,"合格","不合格，需要再细分"))</f>
        <v>#REF!</v>
      </c>
    </row>
    <row r="177" spans="1:4" ht="20.100000000000001" customHeight="1">
      <c r="A177" s="751" t="s">
        <v>1865</v>
      </c>
      <c r="B177" s="751"/>
      <c r="C177" s="751"/>
      <c r="D177" s="751"/>
    </row>
    <row r="178" spans="1:4" ht="20.100000000000001" customHeight="1">
      <c r="A178" s="751"/>
      <c r="B178" s="751"/>
      <c r="C178" s="751"/>
      <c r="D178" s="751"/>
    </row>
    <row r="179" spans="1:4" ht="20.100000000000001" customHeight="1">
      <c r="A179" s="751"/>
      <c r="B179" s="751"/>
      <c r="C179" s="751"/>
      <c r="D179" s="751"/>
    </row>
    <row r="180" spans="1:4" ht="20.100000000000001" customHeight="1">
      <c r="A180" s="751"/>
      <c r="B180" s="751"/>
      <c r="C180" s="751"/>
      <c r="D180" s="751"/>
    </row>
    <row r="181" spans="1:4" ht="20.100000000000001" customHeight="1">
      <c r="A181" s="751"/>
      <c r="B181" s="751"/>
      <c r="C181" s="751"/>
      <c r="D181" s="751"/>
    </row>
    <row r="182" spans="1:4" ht="20.100000000000001" customHeight="1">
      <c r="A182" s="751"/>
      <c r="B182" s="751"/>
      <c r="C182" s="751"/>
      <c r="D182" s="751"/>
    </row>
    <row r="183" spans="1:4" ht="20.100000000000001" customHeight="1">
      <c r="A183" s="751"/>
      <c r="B183" s="751"/>
      <c r="C183" s="751"/>
      <c r="D183" s="751"/>
    </row>
    <row r="184" spans="1:4" ht="20.100000000000001" customHeight="1">
      <c r="A184" s="751"/>
      <c r="B184" s="751"/>
      <c r="C184" s="751"/>
      <c r="D184" s="751"/>
    </row>
    <row r="185" spans="1:4" ht="20.100000000000001" customHeight="1">
      <c r="A185" s="751"/>
      <c r="B185" s="751"/>
      <c r="C185" s="751"/>
      <c r="D185" s="751"/>
    </row>
    <row r="186" spans="1:4" ht="20.100000000000001" customHeight="1">
      <c r="A186" s="751"/>
      <c r="B186" s="751"/>
      <c r="C186" s="751"/>
      <c r="D186" s="751"/>
    </row>
    <row r="187" spans="1:4" ht="20.100000000000001" customHeight="1">
      <c r="A187" s="751"/>
      <c r="B187" s="751"/>
      <c r="C187" s="751"/>
      <c r="D187" s="751"/>
    </row>
    <row r="188" spans="1:4" ht="20.100000000000001" customHeight="1">
      <c r="A188" s="751"/>
      <c r="B188" s="751"/>
      <c r="C188" s="751"/>
      <c r="D188" s="751"/>
    </row>
    <row r="189" spans="1:4" ht="20.100000000000001" customHeight="1">
      <c r="A189" s="751"/>
      <c r="B189" s="751"/>
      <c r="C189" s="751"/>
      <c r="D189" s="751"/>
    </row>
    <row r="190" spans="1:4" ht="20.100000000000001" customHeight="1">
      <c r="A190" s="751"/>
      <c r="B190" s="751"/>
      <c r="C190" s="751"/>
      <c r="D190" s="751"/>
    </row>
    <row r="191" spans="1:4" ht="20.100000000000001" customHeight="1">
      <c r="A191" s="751"/>
      <c r="B191" s="751"/>
      <c r="C191" s="751"/>
      <c r="D191" s="751"/>
    </row>
    <row r="192" spans="1:4" ht="20.100000000000001" customHeight="1">
      <c r="A192" s="751"/>
      <c r="B192" s="751"/>
      <c r="C192" s="751"/>
      <c r="D192" s="751"/>
    </row>
    <row r="193" spans="1:4" ht="20.100000000000001" customHeight="1">
      <c r="A193" s="751"/>
      <c r="B193" s="751"/>
      <c r="C193" s="751"/>
      <c r="D193" s="751"/>
    </row>
    <row r="194" spans="1:4" ht="20.100000000000001" customHeight="1">
      <c r="A194" s="751"/>
      <c r="B194" s="751"/>
      <c r="C194" s="751"/>
      <c r="D194" s="751"/>
    </row>
    <row r="195" spans="1:4" ht="20.100000000000001" customHeight="1">
      <c r="A195" s="751"/>
      <c r="B195" s="751"/>
      <c r="C195" s="751"/>
      <c r="D195" s="751"/>
    </row>
    <row r="196" spans="1:4" ht="20.100000000000001" customHeight="1">
      <c r="A196" s="751"/>
      <c r="B196" s="751"/>
      <c r="C196" s="751"/>
      <c r="D196" s="751"/>
    </row>
    <row r="197" spans="1:4" ht="20.100000000000001" customHeight="1">
      <c r="A197" s="751"/>
      <c r="B197" s="751"/>
      <c r="C197" s="751"/>
      <c r="D197" s="751"/>
    </row>
    <row r="198" spans="1:4" ht="20.100000000000001" customHeight="1">
      <c r="A198" s="751"/>
      <c r="B198" s="751"/>
      <c r="C198" s="751"/>
      <c r="D198" s="751"/>
    </row>
    <row r="199" spans="1:4" ht="20.100000000000001" customHeight="1">
      <c r="A199" s="751"/>
      <c r="B199" s="751"/>
      <c r="C199" s="751"/>
      <c r="D199" s="751"/>
    </row>
    <row r="200" spans="1:4" ht="20.100000000000001" customHeight="1">
      <c r="A200" s="751"/>
      <c r="B200" s="751"/>
      <c r="C200" s="751"/>
      <c r="D200" s="751"/>
    </row>
    <row r="201" spans="1:4" ht="20.100000000000001" customHeight="1">
      <c r="A201" s="751"/>
      <c r="B201" s="751"/>
      <c r="C201" s="751"/>
      <c r="D201" s="751"/>
    </row>
    <row r="202" spans="1:4" ht="20.100000000000001" customHeight="1">
      <c r="A202" s="1374" t="s">
        <v>1811</v>
      </c>
      <c r="B202" s="1374"/>
      <c r="C202" s="1374"/>
      <c r="D202" s="1374"/>
    </row>
    <row r="203" spans="1:4" ht="20.100000000000001" customHeight="1">
      <c r="A203" s="1374"/>
      <c r="B203" s="1374"/>
      <c r="C203" s="1374"/>
      <c r="D203" s="1374"/>
    </row>
    <row r="204" spans="1:4" ht="20.100000000000001" customHeight="1">
      <c r="A204" s="1374"/>
      <c r="B204" s="1374"/>
      <c r="C204" s="1374"/>
      <c r="D204" s="1374"/>
    </row>
    <row r="205" spans="1:4" ht="20.100000000000001" customHeight="1">
      <c r="A205" s="1374"/>
      <c r="B205" s="1374"/>
      <c r="C205" s="1374"/>
      <c r="D205" s="1374"/>
    </row>
    <row r="206" spans="1:4" ht="20.100000000000001" customHeight="1">
      <c r="A206" s="1374"/>
      <c r="B206" s="1374"/>
      <c r="C206" s="1374"/>
      <c r="D206" s="1374"/>
    </row>
    <row r="207" spans="1:4" ht="20.100000000000001" customHeight="1">
      <c r="A207" s="1374"/>
      <c r="B207" s="1374"/>
      <c r="C207" s="1374"/>
      <c r="D207" s="1374"/>
    </row>
    <row r="208" spans="1:4" ht="20.100000000000001" customHeight="1">
      <c r="A208" s="1374"/>
      <c r="B208" s="1374"/>
      <c r="C208" s="1374"/>
      <c r="D208" s="1374"/>
    </row>
    <row r="209" spans="1:4" ht="20.100000000000001" customHeight="1">
      <c r="A209" s="1374"/>
      <c r="B209" s="1374"/>
      <c r="C209" s="1374"/>
      <c r="D209" s="1374"/>
    </row>
    <row r="210" spans="1:4" ht="20.100000000000001" customHeight="1">
      <c r="A210" s="1374"/>
      <c r="B210" s="1374"/>
      <c r="C210" s="1374"/>
      <c r="D210" s="1374"/>
    </row>
  </sheetData>
  <sheetProtection password="828E" sheet="1" objects="1" scenarios="1"/>
  <dataConsolidate/>
  <mergeCells count="36">
    <mergeCell ref="A1:D1"/>
    <mergeCell ref="A4:A12"/>
    <mergeCell ref="A80:D80"/>
    <mergeCell ref="A53:A54"/>
    <mergeCell ref="A37:A52"/>
    <mergeCell ref="A2:D2"/>
    <mergeCell ref="A13:A15"/>
    <mergeCell ref="A35:D35"/>
    <mergeCell ref="A77:A79"/>
    <mergeCell ref="A16:A23"/>
    <mergeCell ref="A32:A34"/>
    <mergeCell ref="A55:A66"/>
    <mergeCell ref="A67:A76"/>
    <mergeCell ref="F164:F166"/>
    <mergeCell ref="E157:E165"/>
    <mergeCell ref="F157:I158"/>
    <mergeCell ref="A158:A168"/>
    <mergeCell ref="F159:F162"/>
    <mergeCell ref="A82:A96"/>
    <mergeCell ref="A128:D128"/>
    <mergeCell ref="A147:A148"/>
    <mergeCell ref="A202:D210"/>
    <mergeCell ref="A174:A176"/>
    <mergeCell ref="D159:D160"/>
    <mergeCell ref="A100:A108"/>
    <mergeCell ref="A109:A119"/>
    <mergeCell ref="A149:A157"/>
    <mergeCell ref="A131:A137"/>
    <mergeCell ref="A139:A146"/>
    <mergeCell ref="A177:D201"/>
    <mergeCell ref="F112:F114"/>
    <mergeCell ref="A97:A99"/>
    <mergeCell ref="F105:I106"/>
    <mergeCell ref="E105:E113"/>
    <mergeCell ref="A125:A127"/>
    <mergeCell ref="F107:F110"/>
  </mergeCells>
  <phoneticPr fontId="4" type="noConversion"/>
  <dataValidations count="4">
    <dataValidation type="list" allowBlank="1" showInputMessage="1" showErrorMessage="1" prompt="请选择" sqref="H166 C176 H114 C79 C34 C127">
      <formula1>"不细分,2,4,8,16,32"</formula1>
    </dataValidation>
    <dataValidation type="list" allowBlank="1" showInputMessage="1" showErrorMessage="1" sqref="C150">
      <formula1>"滚筒支撑,钢板支撑"</formula1>
    </dataValidation>
    <dataValidation type="list" allowBlank="1" showInputMessage="1" showErrorMessage="1" prompt="请选择" sqref="C130">
      <formula1>"连续输送,间歇输送"</formula1>
    </dataValidation>
    <dataValidation type="list" allowBlank="1" showInputMessage="1" showErrorMessage="1" prompt="请选择" sqref="C14 C98">
      <formula1>"单向,往复"</formula1>
    </dataValidation>
  </dataValidation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sheetPr codeName="Sheet31"/>
  <dimension ref="A1:AE163"/>
  <sheetViews>
    <sheetView workbookViewId="0">
      <selection activeCell="C132" sqref="C132"/>
    </sheetView>
  </sheetViews>
  <sheetFormatPr defaultColWidth="15.625" defaultRowHeight="20.100000000000001" customHeight="1"/>
  <cols>
    <col min="1" max="1" width="13.375" style="508" customWidth="1"/>
    <col min="2" max="2" width="33.25" style="262" customWidth="1"/>
    <col min="3" max="3" width="15.5" style="263" customWidth="1"/>
    <col min="4" max="4" width="22" style="262" customWidth="1"/>
    <col min="5" max="5" width="5.375" style="262" customWidth="1"/>
    <col min="6" max="6" width="14.375" style="262" customWidth="1"/>
    <col min="7" max="7" width="23.875" style="262" customWidth="1"/>
    <col min="8" max="8" width="13.75" style="262" customWidth="1"/>
    <col min="9" max="9" width="17.5" style="262" customWidth="1"/>
    <col min="10" max="10" width="10" style="262" customWidth="1"/>
    <col min="11" max="11" width="10.375" style="262" customWidth="1"/>
    <col min="12" max="12" width="7.5" style="262" customWidth="1"/>
    <col min="13" max="13" width="7.125" style="262" customWidth="1"/>
    <col min="14" max="15" width="8.5" style="262" customWidth="1"/>
    <col min="16" max="20" width="10.625" style="262" customWidth="1"/>
    <col min="21" max="27" width="8.625" style="262" customWidth="1"/>
    <col min="28" max="16384" width="15.625" style="262"/>
  </cols>
  <sheetData>
    <row r="1" spans="1:31" s="374" customFormat="1" ht="21.95" customHeight="1">
      <c r="A1" s="1289" t="s">
        <v>2026</v>
      </c>
      <c r="B1" s="1290"/>
      <c r="C1" s="1290"/>
      <c r="D1" s="1290"/>
      <c r="F1" s="677"/>
      <c r="G1" s="678"/>
      <c r="H1" s="678"/>
    </row>
    <row r="2" spans="1:31" ht="20.100000000000001" customHeight="1">
      <c r="A2" s="1372" t="s">
        <v>2049</v>
      </c>
      <c r="B2" s="1372"/>
      <c r="C2" s="1372"/>
      <c r="D2" s="1372"/>
      <c r="F2" s="262" t="s">
        <v>2027</v>
      </c>
      <c r="I2" s="333" t="s">
        <v>2028</v>
      </c>
      <c r="J2" s="333"/>
      <c r="R2" s="344"/>
      <c r="S2" s="344"/>
      <c r="T2" s="344"/>
      <c r="V2" s="342"/>
      <c r="W2" s="342"/>
      <c r="X2" s="342"/>
      <c r="Y2" s="342"/>
      <c r="Z2" s="342"/>
      <c r="AA2" s="342"/>
      <c r="AB2" s="342"/>
      <c r="AC2" s="342"/>
      <c r="AD2" s="342"/>
    </row>
    <row r="3" spans="1:31" ht="20.100000000000001" customHeight="1">
      <c r="A3" s="507" t="s">
        <v>753</v>
      </c>
      <c r="B3" s="266" t="s">
        <v>754</v>
      </c>
      <c r="C3" s="653" t="s">
        <v>755</v>
      </c>
      <c r="D3" s="266" t="s">
        <v>762</v>
      </c>
      <c r="J3" s="333"/>
      <c r="T3" s="344"/>
      <c r="V3" s="342"/>
      <c r="W3" s="342"/>
      <c r="X3" s="342"/>
      <c r="Y3" s="342"/>
      <c r="Z3" s="342"/>
      <c r="AA3" s="342"/>
      <c r="AB3" s="342"/>
      <c r="AC3" s="342"/>
      <c r="AD3" s="342"/>
    </row>
    <row r="4" spans="1:31" ht="20.100000000000001" customHeight="1">
      <c r="A4" s="1090" t="s">
        <v>2021</v>
      </c>
      <c r="B4" s="266" t="s">
        <v>2052</v>
      </c>
      <c r="C4" s="326">
        <v>3</v>
      </c>
      <c r="D4" s="345"/>
      <c r="J4" s="333"/>
      <c r="T4" s="344"/>
      <c r="W4" s="343"/>
      <c r="X4" s="343"/>
      <c r="Y4" s="343"/>
      <c r="Z4" s="343"/>
      <c r="AA4" s="343"/>
      <c r="AB4" s="343"/>
      <c r="AC4" s="343"/>
      <c r="AD4" s="343"/>
    </row>
    <row r="5" spans="1:31" ht="20.100000000000001" customHeight="1">
      <c r="A5" s="757"/>
      <c r="B5" s="266" t="s">
        <v>2022</v>
      </c>
      <c r="C5" s="326">
        <v>1.8</v>
      </c>
      <c r="D5" s="345"/>
      <c r="J5" s="333"/>
      <c r="T5" s="344"/>
      <c r="W5" s="344"/>
      <c r="X5" s="344"/>
      <c r="Y5" s="344"/>
      <c r="Z5" s="344"/>
      <c r="AA5" s="344"/>
      <c r="AB5" s="344"/>
      <c r="AC5" s="344"/>
      <c r="AD5" s="344"/>
      <c r="AE5" s="343"/>
    </row>
    <row r="6" spans="1:31" ht="20.100000000000001" customHeight="1">
      <c r="A6" s="757"/>
      <c r="B6" s="345" t="s">
        <v>2035</v>
      </c>
      <c r="C6" s="417">
        <v>5</v>
      </c>
      <c r="D6" s="266"/>
      <c r="J6" s="333"/>
      <c r="T6" s="344"/>
      <c r="W6" s="344"/>
      <c r="X6" s="344"/>
      <c r="Y6" s="344"/>
      <c r="Z6" s="344"/>
      <c r="AE6" s="344"/>
    </row>
    <row r="7" spans="1:31" ht="20.100000000000001" customHeight="1">
      <c r="A7" s="768"/>
      <c r="B7" s="266" t="str">
        <f>"选择分割器工位数s(需≥"&amp;C6+1&amp;")(表2)"</f>
        <v>选择分割器工位数s(需≥6)(表2)</v>
      </c>
      <c r="C7" s="539">
        <v>6</v>
      </c>
      <c r="D7" s="266"/>
      <c r="J7" s="333"/>
      <c r="U7" s="344"/>
      <c r="V7" s="344"/>
      <c r="W7" s="344"/>
      <c r="X7" s="344"/>
      <c r="Y7" s="344"/>
      <c r="Z7" s="344"/>
      <c r="AA7" s="344"/>
      <c r="AB7" s="344"/>
      <c r="AC7" s="344"/>
    </row>
    <row r="8" spans="1:31" ht="20.100000000000001" customHeight="1">
      <c r="A8" s="1291" t="s">
        <v>2047</v>
      </c>
      <c r="B8" s="266" t="s">
        <v>2023</v>
      </c>
      <c r="C8" s="287">
        <f>C4-C5</f>
        <v>1.2</v>
      </c>
      <c r="D8" s="345"/>
      <c r="J8" s="333"/>
      <c r="V8" s="344"/>
      <c r="W8" s="344"/>
      <c r="X8" s="344"/>
      <c r="Y8" s="344"/>
      <c r="Z8" s="344"/>
      <c r="AA8" s="344"/>
      <c r="AB8" s="344"/>
      <c r="AC8" s="344"/>
      <c r="AD8" s="344"/>
    </row>
    <row r="9" spans="1:31" ht="20.100000000000001" customHeight="1">
      <c r="A9" s="1291"/>
      <c r="B9" s="266" t="s">
        <v>2024</v>
      </c>
      <c r="C9" s="518">
        <f>(C4-C5)*360/C4</f>
        <v>144</v>
      </c>
      <c r="D9" s="345" t="str">
        <f>"需选择分度角≤"&amp;C9&amp;"°"</f>
        <v>需选择分度角≤144°</v>
      </c>
      <c r="J9" s="333"/>
      <c r="U9" s="344"/>
      <c r="V9" s="344"/>
      <c r="W9" s="344"/>
    </row>
    <row r="10" spans="1:31" ht="20.100000000000001" customHeight="1">
      <c r="A10" s="1291"/>
      <c r="B10" s="266" t="s">
        <v>2033</v>
      </c>
      <c r="C10" s="539">
        <v>120</v>
      </c>
      <c r="D10" s="490" t="s">
        <v>2025</v>
      </c>
      <c r="J10" s="333"/>
    </row>
    <row r="11" spans="1:31" ht="20.100000000000001" customHeight="1">
      <c r="A11" s="1081" t="s">
        <v>2046</v>
      </c>
      <c r="B11" s="266" t="s">
        <v>2059</v>
      </c>
      <c r="C11" s="653">
        <f>60/C4</f>
        <v>20</v>
      </c>
      <c r="D11" s="345"/>
      <c r="J11" s="333"/>
    </row>
    <row r="12" spans="1:31" ht="20.100000000000001" customHeight="1">
      <c r="A12" s="1082"/>
      <c r="B12" s="345" t="s">
        <v>2030</v>
      </c>
      <c r="C12" s="540" t="s">
        <v>2031</v>
      </c>
      <c r="D12" s="509" t="s">
        <v>2037</v>
      </c>
      <c r="J12" s="333"/>
      <c r="AA12" s="343"/>
    </row>
    <row r="13" spans="1:31" ht="20.100000000000001" customHeight="1">
      <c r="A13" s="1082"/>
      <c r="B13" s="266" t="s">
        <v>2029</v>
      </c>
      <c r="C13" s="287">
        <f>IF(C12="修正梯形曲线",4.89,IF(C12="修正正弦曲线",5.53,IF(C12="修正等速曲线",8.01,"请选择凸轮曲线类型")))</f>
        <v>5.53</v>
      </c>
      <c r="D13" s="266" t="s">
        <v>1545</v>
      </c>
      <c r="J13" s="333"/>
      <c r="M13" s="343"/>
      <c r="AA13" s="343"/>
    </row>
    <row r="14" spans="1:31" ht="20.100000000000001" customHeight="1">
      <c r="A14" s="1082"/>
      <c r="B14" s="266" t="s">
        <v>2039</v>
      </c>
      <c r="C14" s="287">
        <f>IF(C12="修正梯形曲线",1.65,IF(C12="修正正弦曲线",0.99,IF(C12="修正等速曲线",0.72,"请选择凸轮曲线类型")))</f>
        <v>0.99</v>
      </c>
      <c r="D14" s="345" t="s">
        <v>363</v>
      </c>
      <c r="J14" s="333"/>
      <c r="L14" s="343"/>
      <c r="M14" s="343"/>
      <c r="AA14" s="343"/>
    </row>
    <row r="15" spans="1:31" ht="20.100000000000001" customHeight="1">
      <c r="A15" s="1082"/>
      <c r="B15" s="266" t="s">
        <v>2032</v>
      </c>
      <c r="C15" s="284">
        <f>72*PI()*C13/C7*(C11/C10)^2</f>
        <v>5.7910024581171848</v>
      </c>
      <c r="D15" s="266" t="s">
        <v>2034</v>
      </c>
      <c r="J15" s="333"/>
      <c r="L15" s="343"/>
      <c r="M15" s="343"/>
      <c r="AA15" s="343"/>
    </row>
    <row r="16" spans="1:31" ht="20.100000000000001" customHeight="1">
      <c r="A16" s="1082"/>
      <c r="B16" s="266" t="s">
        <v>2060</v>
      </c>
      <c r="C16" s="702">
        <v>4</v>
      </c>
      <c r="D16" s="266" t="s">
        <v>2036</v>
      </c>
      <c r="J16" s="343"/>
      <c r="K16" s="343"/>
      <c r="L16" s="343"/>
      <c r="M16" s="343"/>
      <c r="AA16" s="343"/>
    </row>
    <row r="17" spans="1:27" ht="20.100000000000001" customHeight="1">
      <c r="A17" s="1082"/>
      <c r="B17" s="266" t="s">
        <v>2099</v>
      </c>
      <c r="C17" s="287">
        <f>C16*C15</f>
        <v>23.164009832468739</v>
      </c>
      <c r="D17" s="266" t="s">
        <v>2100</v>
      </c>
      <c r="F17" s="333" t="s">
        <v>2095</v>
      </c>
      <c r="J17" s="343"/>
      <c r="K17" s="343"/>
      <c r="AA17" s="343"/>
    </row>
    <row r="18" spans="1:27" ht="20.100000000000001" customHeight="1">
      <c r="A18" s="1082"/>
      <c r="B18" s="266" t="s">
        <v>2040</v>
      </c>
      <c r="C18" s="541">
        <v>1.5</v>
      </c>
      <c r="D18" s="266" t="s">
        <v>2038</v>
      </c>
      <c r="F18" s="333"/>
      <c r="K18" s="343"/>
      <c r="Y18" s="343"/>
    </row>
    <row r="19" spans="1:27" ht="20.100000000000001" customHeight="1">
      <c r="A19" s="1082"/>
      <c r="B19" s="266" t="s">
        <v>2102</v>
      </c>
      <c r="C19" s="287">
        <f>C18*C17</f>
        <v>34.746014748703111</v>
      </c>
      <c r="D19" s="266" t="str">
        <f>ROUND(C19/9.8,2)&amp;" kgf.m"</f>
        <v>3.55 kgf.m</v>
      </c>
      <c r="Y19" s="343"/>
    </row>
    <row r="20" spans="1:27" ht="20.100000000000001" customHeight="1">
      <c r="A20" s="1082"/>
      <c r="B20" s="345" t="s">
        <v>2041</v>
      </c>
      <c r="C20" s="647" t="s">
        <v>2043</v>
      </c>
      <c r="D20" s="266" t="s">
        <v>1238</v>
      </c>
      <c r="Y20" s="343"/>
    </row>
    <row r="21" spans="1:27" ht="20.100000000000001" customHeight="1">
      <c r="A21" s="1082"/>
      <c r="B21" s="345" t="s">
        <v>2042</v>
      </c>
      <c r="C21" s="331">
        <f>5.77*9.8</f>
        <v>56.545999999999999</v>
      </c>
      <c r="D21" s="266" t="s">
        <v>1238</v>
      </c>
      <c r="Y21" s="343"/>
    </row>
    <row r="22" spans="1:27" ht="20.100000000000001" customHeight="1">
      <c r="A22" s="1082"/>
      <c r="B22" s="266" t="s">
        <v>2044</v>
      </c>
      <c r="C22" s="287">
        <f>C14*C19*360/C7/C10</f>
        <v>17.199277300608042</v>
      </c>
      <c r="D22" s="266" t="s">
        <v>2045</v>
      </c>
      <c r="Y22" s="343"/>
    </row>
    <row r="23" spans="1:27" ht="20.100000000000001" customHeight="1">
      <c r="A23" s="1083"/>
      <c r="B23" s="345" t="s">
        <v>1639</v>
      </c>
      <c r="C23" s="430"/>
      <c r="D23" s="266"/>
      <c r="Y23" s="343"/>
    </row>
    <row r="24" spans="1:27" ht="20.100000000000001" customHeight="1">
      <c r="A24" s="1372" t="s">
        <v>2048</v>
      </c>
      <c r="B24" s="1372"/>
      <c r="C24" s="1372"/>
      <c r="D24" s="1372"/>
      <c r="Y24" s="343"/>
    </row>
    <row r="25" spans="1:27" ht="20.100000000000001" customHeight="1">
      <c r="A25" s="507" t="s">
        <v>753</v>
      </c>
      <c r="B25" s="266" t="s">
        <v>754</v>
      </c>
      <c r="C25" s="653" t="s">
        <v>755</v>
      </c>
      <c r="D25" s="266" t="s">
        <v>762</v>
      </c>
      <c r="F25" s="262" t="s">
        <v>2113</v>
      </c>
      <c r="Y25" s="343"/>
    </row>
    <row r="26" spans="1:27" ht="20.100000000000001" customHeight="1">
      <c r="A26" s="1090" t="s">
        <v>2021</v>
      </c>
      <c r="B26" s="266" t="s">
        <v>2052</v>
      </c>
      <c r="C26" s="326">
        <v>3</v>
      </c>
      <c r="D26" s="345"/>
      <c r="Y26" s="343"/>
    </row>
    <row r="27" spans="1:27" ht="20.100000000000001" customHeight="1">
      <c r="A27" s="757"/>
      <c r="B27" s="266" t="s">
        <v>2022</v>
      </c>
      <c r="C27" s="326">
        <v>1.8</v>
      </c>
      <c r="D27" s="345"/>
      <c r="Y27" s="343"/>
    </row>
    <row r="28" spans="1:27" ht="20.100000000000001" customHeight="1">
      <c r="A28" s="757"/>
      <c r="B28" s="345" t="s">
        <v>2050</v>
      </c>
      <c r="C28" s="417">
        <v>24</v>
      </c>
      <c r="D28" s="266"/>
      <c r="X28" s="343"/>
    </row>
    <row r="29" spans="1:27" ht="20.100000000000001" customHeight="1">
      <c r="A29" s="757"/>
      <c r="B29" s="266" t="s">
        <v>2063</v>
      </c>
      <c r="C29" s="417">
        <v>4</v>
      </c>
      <c r="D29" s="266"/>
      <c r="X29" s="343"/>
    </row>
    <row r="30" spans="1:27" ht="20.100000000000001" customHeight="1">
      <c r="A30" s="757"/>
      <c r="B30" s="266" t="s">
        <v>2093</v>
      </c>
      <c r="C30" s="653">
        <f>C28/C29</f>
        <v>6</v>
      </c>
      <c r="D30" s="266"/>
      <c r="X30" s="343"/>
    </row>
    <row r="31" spans="1:27" ht="20.100000000000001" customHeight="1">
      <c r="A31" s="757"/>
      <c r="B31" s="266" t="str">
        <f>"选择分割器工位数s(需≥s0)(表2)"</f>
        <v>选择分割器工位数s(需≥s0)(表2)</v>
      </c>
      <c r="C31" s="539">
        <v>6</v>
      </c>
      <c r="D31" s="266"/>
      <c r="X31" s="343"/>
    </row>
    <row r="32" spans="1:27" ht="20.100000000000001" customHeight="1">
      <c r="A32" s="768"/>
      <c r="B32" s="345" t="s">
        <v>2051</v>
      </c>
      <c r="C32" s="653">
        <f>C31*C29</f>
        <v>24</v>
      </c>
      <c r="D32" s="266"/>
      <c r="X32" s="343"/>
    </row>
    <row r="33" spans="1:29" ht="20.100000000000001" customHeight="1">
      <c r="A33" s="1291" t="s">
        <v>2047</v>
      </c>
      <c r="B33" s="266" t="s">
        <v>2023</v>
      </c>
      <c r="C33" s="287">
        <f>C26-C27</f>
        <v>1.2</v>
      </c>
      <c r="D33" s="345"/>
      <c r="X33" s="343"/>
    </row>
    <row r="34" spans="1:29" ht="20.100000000000001" customHeight="1">
      <c r="A34" s="1291"/>
      <c r="B34" s="266" t="s">
        <v>2024</v>
      </c>
      <c r="C34" s="518">
        <f>(C26-C27)*360/C26</f>
        <v>144</v>
      </c>
      <c r="D34" s="345" t="str">
        <f>"需选择分度角≤"&amp;C34&amp;"°"</f>
        <v>需选择分度角≤144°</v>
      </c>
      <c r="X34" s="343"/>
    </row>
    <row r="35" spans="1:29" ht="20.100000000000001" customHeight="1">
      <c r="A35" s="1291"/>
      <c r="B35" s="266" t="s">
        <v>2033</v>
      </c>
      <c r="C35" s="539">
        <v>120</v>
      </c>
      <c r="D35" s="490" t="s">
        <v>2025</v>
      </c>
      <c r="X35" s="343"/>
    </row>
    <row r="36" spans="1:29" ht="20.100000000000001" customHeight="1">
      <c r="A36" s="1081" t="s">
        <v>2046</v>
      </c>
      <c r="B36" s="266" t="s">
        <v>2059</v>
      </c>
      <c r="C36" s="653">
        <f>60/C26</f>
        <v>20</v>
      </c>
      <c r="D36" s="345"/>
      <c r="Y36" s="343"/>
    </row>
    <row r="37" spans="1:29" ht="20.100000000000001" customHeight="1">
      <c r="A37" s="1082"/>
      <c r="B37" s="345" t="s">
        <v>2030</v>
      </c>
      <c r="C37" s="540" t="s">
        <v>2031</v>
      </c>
      <c r="D37" s="509" t="s">
        <v>2037</v>
      </c>
      <c r="AC37" s="343"/>
    </row>
    <row r="38" spans="1:29" ht="20.100000000000001" customHeight="1">
      <c r="A38" s="1082"/>
      <c r="B38" s="266" t="s">
        <v>2029</v>
      </c>
      <c r="C38" s="287">
        <f>IF(C37="修正梯形曲线",4.89,IF(C37="修正正弦曲线",5.53,IF(C37="修正等速曲线",8.01,"请选择凸轮曲线类型")))</f>
        <v>5.53</v>
      </c>
      <c r="D38" s="266" t="s">
        <v>1545</v>
      </c>
      <c r="AC38" s="343"/>
    </row>
    <row r="39" spans="1:29" ht="20.100000000000001" customHeight="1">
      <c r="A39" s="1082"/>
      <c r="B39" s="266" t="s">
        <v>2039</v>
      </c>
      <c r="C39" s="287">
        <f>IF(C37="修正梯形曲线",1.65,IF(C37="修正正弦曲线",0.99,IF(C37="修正等速曲线",0.72,"请选择凸轮曲线类型")))</f>
        <v>0.99</v>
      </c>
      <c r="D39" s="345" t="s">
        <v>363</v>
      </c>
      <c r="AC39" s="343"/>
    </row>
    <row r="40" spans="1:29" ht="20.100000000000001" customHeight="1">
      <c r="A40" s="1082"/>
      <c r="B40" s="266" t="s">
        <v>2032</v>
      </c>
      <c r="C40" s="284">
        <f>72*PI()*C38/C31*(C36/C35)^2</f>
        <v>5.7910024581171848</v>
      </c>
      <c r="D40" s="266" t="s">
        <v>2034</v>
      </c>
      <c r="AC40" s="343"/>
    </row>
    <row r="41" spans="1:29" ht="20.100000000000001" customHeight="1">
      <c r="A41" s="1082"/>
      <c r="B41" s="266" t="s">
        <v>2057</v>
      </c>
      <c r="C41" s="702">
        <v>0.4</v>
      </c>
      <c r="D41" s="266" t="s">
        <v>2053</v>
      </c>
      <c r="AC41" s="343"/>
    </row>
    <row r="42" spans="1:29" ht="20.100000000000001" customHeight="1">
      <c r="A42" s="1082"/>
      <c r="B42" s="266" t="s">
        <v>2056</v>
      </c>
      <c r="C42" s="702">
        <v>2.0000000000000001E-4</v>
      </c>
      <c r="D42" s="266" t="s">
        <v>2054</v>
      </c>
      <c r="AC42" s="343"/>
    </row>
    <row r="43" spans="1:29" ht="20.100000000000001" customHeight="1">
      <c r="A43" s="1082"/>
      <c r="B43" s="266" t="s">
        <v>2055</v>
      </c>
      <c r="C43" s="518">
        <f>C42+C41/C29^2</f>
        <v>2.52E-2</v>
      </c>
      <c r="D43" s="266" t="s">
        <v>2058</v>
      </c>
      <c r="X43" s="343"/>
      <c r="AC43" s="343"/>
    </row>
    <row r="44" spans="1:29" ht="20.100000000000001" customHeight="1">
      <c r="A44" s="1082"/>
      <c r="B44" s="266" t="s">
        <v>2099</v>
      </c>
      <c r="C44" s="287">
        <f>C43*C40</f>
        <v>0.14593326194455306</v>
      </c>
      <c r="D44" s="266" t="s">
        <v>2101</v>
      </c>
      <c r="X44" s="343"/>
      <c r="AC44" s="343"/>
    </row>
    <row r="45" spans="1:29" ht="20.100000000000001" customHeight="1">
      <c r="A45" s="1082"/>
      <c r="B45" s="266" t="s">
        <v>2040</v>
      </c>
      <c r="C45" s="702">
        <v>1.5</v>
      </c>
      <c r="D45" s="266" t="s">
        <v>2038</v>
      </c>
      <c r="X45" s="343"/>
      <c r="AC45" s="343"/>
    </row>
    <row r="46" spans="1:29" ht="20.100000000000001" customHeight="1">
      <c r="A46" s="1082"/>
      <c r="B46" s="266" t="s">
        <v>2102</v>
      </c>
      <c r="C46" s="542">
        <f>C45*C44</f>
        <v>0.2188998929168296</v>
      </c>
      <c r="D46" s="266" t="str">
        <f>ROUND(C46/9.8,4)&amp;" kgf.m"</f>
        <v>0.0223 kgf.m</v>
      </c>
      <c r="AC46" s="343"/>
    </row>
    <row r="47" spans="1:29" ht="20.100000000000001" customHeight="1">
      <c r="A47" s="1082"/>
      <c r="B47" s="345" t="s">
        <v>2041</v>
      </c>
      <c r="C47" s="647"/>
      <c r="D47" s="266" t="s">
        <v>1238</v>
      </c>
      <c r="F47" s="262" t="s">
        <v>2114</v>
      </c>
      <c r="AC47" s="343"/>
    </row>
    <row r="48" spans="1:29" ht="20.100000000000001" customHeight="1">
      <c r="A48" s="1082"/>
      <c r="B48" s="345" t="s">
        <v>2042</v>
      </c>
      <c r="C48" s="331"/>
      <c r="D48" s="266" t="s">
        <v>1238</v>
      </c>
      <c r="AC48" s="343"/>
    </row>
    <row r="49" spans="1:29" ht="20.100000000000001" customHeight="1">
      <c r="A49" s="1082"/>
      <c r="B49" s="266" t="s">
        <v>2044</v>
      </c>
      <c r="C49" s="287">
        <f>C39*C46*360/C32/C35</f>
        <v>2.7088861748457663E-2</v>
      </c>
      <c r="D49" s="266" t="s">
        <v>2045</v>
      </c>
    </row>
    <row r="50" spans="1:29" ht="20.100000000000001" customHeight="1">
      <c r="A50" s="1083"/>
      <c r="B50" s="345" t="s">
        <v>1639</v>
      </c>
      <c r="C50" s="430"/>
      <c r="D50" s="266"/>
    </row>
    <row r="51" spans="1:29" ht="20.100000000000001" customHeight="1">
      <c r="A51" s="1372" t="s">
        <v>2061</v>
      </c>
      <c r="B51" s="1372"/>
      <c r="C51" s="1372"/>
      <c r="D51" s="1372"/>
      <c r="L51" s="343"/>
    </row>
    <row r="52" spans="1:29" ht="20.100000000000001" customHeight="1">
      <c r="A52" s="507" t="s">
        <v>753</v>
      </c>
      <c r="B52" s="266" t="s">
        <v>754</v>
      </c>
      <c r="C52" s="653" t="s">
        <v>755</v>
      </c>
      <c r="D52" s="266" t="s">
        <v>762</v>
      </c>
      <c r="L52" s="343"/>
      <c r="AC52" s="343"/>
    </row>
    <row r="53" spans="1:29" ht="20.100000000000001" customHeight="1">
      <c r="A53" s="1090" t="s">
        <v>2021</v>
      </c>
      <c r="B53" s="266" t="s">
        <v>2067</v>
      </c>
      <c r="C53" s="417">
        <f>8*1</f>
        <v>8</v>
      </c>
      <c r="D53" s="266"/>
      <c r="L53" s="343"/>
      <c r="AC53" s="343"/>
    </row>
    <row r="54" spans="1:29" ht="20.100000000000001" customHeight="1">
      <c r="A54" s="757"/>
      <c r="B54" s="266" t="s">
        <v>2068</v>
      </c>
      <c r="C54" s="417">
        <f>2*8+20*3</f>
        <v>76</v>
      </c>
      <c r="D54" s="266"/>
      <c r="L54" s="343"/>
      <c r="AC54" s="343"/>
    </row>
    <row r="55" spans="1:29" ht="20.100000000000001" customHeight="1">
      <c r="A55" s="757"/>
      <c r="B55" s="266" t="s">
        <v>2070</v>
      </c>
      <c r="C55" s="653">
        <f>C53+C54</f>
        <v>84</v>
      </c>
      <c r="D55" s="266"/>
      <c r="L55" s="343"/>
      <c r="AC55" s="343"/>
    </row>
    <row r="56" spans="1:29" ht="20.100000000000001" customHeight="1">
      <c r="A56" s="757"/>
      <c r="B56" s="266" t="s">
        <v>2090</v>
      </c>
      <c r="C56" s="417">
        <v>0.02</v>
      </c>
      <c r="D56" s="266"/>
      <c r="L56" s="343"/>
      <c r="AC56" s="343"/>
    </row>
    <row r="57" spans="1:29" ht="20.100000000000001" customHeight="1">
      <c r="A57" s="757"/>
      <c r="B57" s="266" t="s">
        <v>2096</v>
      </c>
      <c r="C57" s="417">
        <v>0</v>
      </c>
      <c r="D57" s="266"/>
      <c r="L57" s="343"/>
      <c r="AC57" s="343"/>
    </row>
    <row r="58" spans="1:29" ht="20.100000000000001" customHeight="1">
      <c r="A58" s="757"/>
      <c r="B58" s="266" t="s">
        <v>2052</v>
      </c>
      <c r="C58" s="326">
        <v>1.5</v>
      </c>
      <c r="D58" s="345"/>
      <c r="L58" s="343"/>
      <c r="M58" s="343"/>
      <c r="AC58" s="343"/>
    </row>
    <row r="59" spans="1:29" ht="20.100000000000001" customHeight="1">
      <c r="A59" s="757"/>
      <c r="B59" s="266" t="s">
        <v>2022</v>
      </c>
      <c r="C59" s="326">
        <v>1</v>
      </c>
      <c r="D59" s="345"/>
      <c r="L59" s="343"/>
      <c r="M59" s="343"/>
      <c r="AC59" s="343"/>
    </row>
    <row r="60" spans="1:29" ht="20.100000000000001" customHeight="1">
      <c r="A60" s="757"/>
      <c r="B60" s="345" t="s">
        <v>2050</v>
      </c>
      <c r="C60" s="417">
        <v>20</v>
      </c>
      <c r="D60" s="266"/>
      <c r="L60" s="343"/>
      <c r="M60" s="343"/>
      <c r="AC60" s="343"/>
    </row>
    <row r="61" spans="1:29" ht="20.100000000000001" customHeight="1">
      <c r="A61" s="757"/>
      <c r="B61" s="266" t="s">
        <v>2076</v>
      </c>
      <c r="C61" s="417">
        <f>100/200</f>
        <v>0.5</v>
      </c>
      <c r="D61" s="266"/>
      <c r="L61" s="343"/>
      <c r="M61" s="343"/>
      <c r="AC61" s="343"/>
    </row>
    <row r="62" spans="1:29" ht="20.100000000000001" customHeight="1">
      <c r="A62" s="757"/>
      <c r="B62" s="266" t="s">
        <v>2077</v>
      </c>
      <c r="C62" s="417">
        <v>0.95</v>
      </c>
      <c r="D62" s="266"/>
      <c r="L62" s="343"/>
      <c r="M62" s="343"/>
      <c r="AC62" s="343"/>
    </row>
    <row r="63" spans="1:29" ht="20.100000000000001" customHeight="1">
      <c r="A63" s="757"/>
      <c r="B63" s="266" t="s">
        <v>2092</v>
      </c>
      <c r="C63" s="417">
        <v>254</v>
      </c>
      <c r="D63" s="285" t="s">
        <v>2094</v>
      </c>
      <c r="L63" s="343"/>
      <c r="M63" s="343"/>
      <c r="AC63" s="343"/>
    </row>
    <row r="64" spans="1:29" ht="20.100000000000001" customHeight="1">
      <c r="A64" s="757"/>
      <c r="B64" s="266" t="s">
        <v>2062</v>
      </c>
      <c r="C64" s="417">
        <v>266</v>
      </c>
      <c r="D64" s="266"/>
      <c r="L64" s="343"/>
      <c r="M64" s="343"/>
      <c r="AC64" s="343"/>
    </row>
    <row r="65" spans="1:29" ht="20.100000000000001" customHeight="1">
      <c r="A65" s="757"/>
      <c r="B65" s="266" t="s">
        <v>2066</v>
      </c>
      <c r="C65" s="417">
        <v>0.9</v>
      </c>
      <c r="D65" s="266"/>
      <c r="L65" s="343"/>
      <c r="M65" s="343"/>
      <c r="AC65" s="343"/>
    </row>
    <row r="66" spans="1:29" ht="20.100000000000001" customHeight="1">
      <c r="A66" s="757"/>
      <c r="B66" s="266" t="s">
        <v>2111</v>
      </c>
      <c r="C66" s="653">
        <f>C63*PI()/C64/C61</f>
        <v>5.999733338434643</v>
      </c>
      <c r="D66" s="266"/>
      <c r="L66" s="343"/>
      <c r="M66" s="343"/>
      <c r="AC66" s="343"/>
    </row>
    <row r="67" spans="1:29" ht="20.100000000000001" customHeight="1">
      <c r="A67" s="768"/>
      <c r="B67" s="266" t="s">
        <v>2112</v>
      </c>
      <c r="C67" s="539">
        <v>6</v>
      </c>
      <c r="D67" s="266" t="s">
        <v>2064</v>
      </c>
      <c r="L67" s="343"/>
      <c r="M67" s="343"/>
      <c r="AC67" s="343"/>
    </row>
    <row r="68" spans="1:29" ht="20.100000000000001" customHeight="1">
      <c r="A68" s="1291" t="s">
        <v>2047</v>
      </c>
      <c r="B68" s="266" t="s">
        <v>2023</v>
      </c>
      <c r="C68" s="287">
        <f>C58-C59</f>
        <v>0.5</v>
      </c>
      <c r="D68" s="345"/>
      <c r="M68" s="343"/>
      <c r="AC68" s="343"/>
    </row>
    <row r="69" spans="1:29" ht="20.100000000000001" customHeight="1">
      <c r="A69" s="1291"/>
      <c r="B69" s="266" t="s">
        <v>2024</v>
      </c>
      <c r="C69" s="518">
        <f>(C58-C59)*360/C58</f>
        <v>120</v>
      </c>
      <c r="D69" s="345" t="str">
        <f>"需选择分度角≤"&amp;C69&amp;"°"</f>
        <v>需选择分度角≤120°</v>
      </c>
      <c r="M69" s="343"/>
      <c r="AC69" s="343"/>
    </row>
    <row r="70" spans="1:29" ht="20.100000000000001" customHeight="1">
      <c r="A70" s="1291"/>
      <c r="B70" s="266" t="s">
        <v>2033</v>
      </c>
      <c r="C70" s="539">
        <v>120</v>
      </c>
      <c r="D70" s="490" t="s">
        <v>2025</v>
      </c>
      <c r="M70" s="343"/>
    </row>
    <row r="71" spans="1:29" ht="20.100000000000001" customHeight="1">
      <c r="A71" s="1081" t="s">
        <v>2046</v>
      </c>
      <c r="B71" s="266" t="s">
        <v>2075</v>
      </c>
      <c r="C71" s="410">
        <f>C55*(C63/1000/2)^2/C65</f>
        <v>1.5053733333333335</v>
      </c>
      <c r="D71" s="380" t="s">
        <v>2074</v>
      </c>
      <c r="M71" s="343"/>
    </row>
    <row r="72" spans="1:29" ht="20.100000000000001" customHeight="1">
      <c r="A72" s="1082"/>
      <c r="B72" s="266" t="s">
        <v>2078</v>
      </c>
      <c r="C72" s="724">
        <v>0.20499999999999999</v>
      </c>
      <c r="D72" s="380" t="s">
        <v>2082</v>
      </c>
      <c r="M72" s="343"/>
    </row>
    <row r="73" spans="1:29" ht="20.100000000000001" customHeight="1">
      <c r="A73" s="1082"/>
      <c r="B73" s="266" t="s">
        <v>2079</v>
      </c>
      <c r="C73" s="724">
        <v>6.0000000000000001E-3</v>
      </c>
      <c r="D73" s="380" t="s">
        <v>2083</v>
      </c>
      <c r="M73" s="343"/>
    </row>
    <row r="74" spans="1:29" ht="20.100000000000001" customHeight="1">
      <c r="A74" s="1082"/>
      <c r="B74" s="266" t="s">
        <v>2080</v>
      </c>
      <c r="C74" s="410">
        <f>(C72+C72/C65+C73+C71)/(C61^2*C62)</f>
        <v>8.1858994152046787</v>
      </c>
      <c r="D74" s="380" t="s">
        <v>2081</v>
      </c>
      <c r="M74" s="343"/>
    </row>
    <row r="75" spans="1:29" ht="20.100000000000001" customHeight="1">
      <c r="A75" s="1082"/>
      <c r="B75" s="266" t="s">
        <v>2085</v>
      </c>
      <c r="C75" s="724">
        <v>0.02</v>
      </c>
      <c r="D75" s="380" t="s">
        <v>2084</v>
      </c>
    </row>
    <row r="76" spans="1:29" ht="20.100000000000001" customHeight="1">
      <c r="A76" s="1082"/>
      <c r="B76" s="266" t="s">
        <v>2087</v>
      </c>
      <c r="C76" s="410">
        <f>C75+C74</f>
        <v>8.2058994152046782</v>
      </c>
      <c r="D76" s="380" t="s">
        <v>2086</v>
      </c>
    </row>
    <row r="77" spans="1:29" ht="20.100000000000001" customHeight="1">
      <c r="A77" s="1082"/>
      <c r="B77" s="266" t="s">
        <v>2059</v>
      </c>
      <c r="C77" s="653">
        <f>60/C58</f>
        <v>40</v>
      </c>
      <c r="D77" s="490"/>
    </row>
    <row r="78" spans="1:29" ht="20.100000000000001" customHeight="1">
      <c r="A78" s="1082"/>
      <c r="B78" s="345" t="s">
        <v>2030</v>
      </c>
      <c r="C78" s="540" t="s">
        <v>2031</v>
      </c>
      <c r="D78" s="490" t="s">
        <v>2071</v>
      </c>
    </row>
    <row r="79" spans="1:29" ht="20.100000000000001" customHeight="1">
      <c r="A79" s="1082"/>
      <c r="B79" s="266" t="s">
        <v>2029</v>
      </c>
      <c r="C79" s="287">
        <f>IF(C78="修正梯形曲线",4.89,IF(C78="修正正弦曲线",5.53,IF(C78="修正等速曲线",8.01,"请选择凸轮曲线类型")))</f>
        <v>5.53</v>
      </c>
      <c r="D79" s="490" t="s">
        <v>2072</v>
      </c>
    </row>
    <row r="80" spans="1:29" ht="20.100000000000001" customHeight="1">
      <c r="A80" s="1082"/>
      <c r="B80" s="266" t="s">
        <v>2039</v>
      </c>
      <c r="C80" s="287">
        <f>IF(C78="修正梯形曲线",1.65,IF(C78="修正正弦曲线",0.99,IF(C78="修正等速曲线",0.72,"请选择凸轮曲线类型")))</f>
        <v>0.99</v>
      </c>
      <c r="D80" s="490" t="s">
        <v>2073</v>
      </c>
    </row>
    <row r="81" spans="1:4" ht="20.100000000000001" customHeight="1">
      <c r="A81" s="1082"/>
      <c r="B81" s="266" t="s">
        <v>2097</v>
      </c>
      <c r="C81" s="284">
        <f>72*PI()*C79/C67*(C77/C70)^2</f>
        <v>23.164009832468739</v>
      </c>
      <c r="D81" s="266" t="s">
        <v>2034</v>
      </c>
    </row>
    <row r="82" spans="1:4" ht="20.100000000000001" customHeight="1">
      <c r="A82" s="1082"/>
      <c r="B82" s="266" t="s">
        <v>2099</v>
      </c>
      <c r="C82" s="378">
        <f>C76*C81</f>
        <v>190.08153473805064</v>
      </c>
      <c r="D82" s="266" t="str">
        <f>ROUND(C82/9.8,4)&amp;" kgf.m"</f>
        <v>19.3961 kgf.m</v>
      </c>
    </row>
    <row r="83" spans="1:4" ht="20.100000000000001" customHeight="1">
      <c r="A83" s="1082"/>
      <c r="B83" s="266" t="s">
        <v>2088</v>
      </c>
      <c r="C83" s="542">
        <f>(C53+0.5*C54)*9.8*C56</f>
        <v>9.016</v>
      </c>
      <c r="D83" s="266" t="s">
        <v>2089</v>
      </c>
    </row>
    <row r="84" spans="1:4" ht="20.100000000000001" customHeight="1">
      <c r="A84" s="1082"/>
      <c r="B84" s="266" t="s">
        <v>2104</v>
      </c>
      <c r="C84" s="542">
        <f>(C83+C57)*C63/2000</f>
        <v>1.1450319999999998</v>
      </c>
      <c r="D84" s="266" t="s">
        <v>2103</v>
      </c>
    </row>
    <row r="85" spans="1:4" ht="20.100000000000001" customHeight="1">
      <c r="A85" s="1082"/>
      <c r="B85" s="266" t="s">
        <v>2105</v>
      </c>
      <c r="C85" s="542">
        <f>C84/(C61*C62*C65)</f>
        <v>2.6784374269005844</v>
      </c>
      <c r="D85" s="266" t="s">
        <v>2091</v>
      </c>
    </row>
    <row r="86" spans="1:4" ht="20.100000000000001" customHeight="1">
      <c r="A86" s="1082"/>
      <c r="B86" s="266" t="s">
        <v>2108</v>
      </c>
      <c r="C86" s="542">
        <f>C85+C82</f>
        <v>192.75997216495122</v>
      </c>
      <c r="D86" s="266" t="s">
        <v>2106</v>
      </c>
    </row>
    <row r="87" spans="1:4" ht="20.100000000000001" customHeight="1">
      <c r="A87" s="1082"/>
      <c r="B87" s="266" t="s">
        <v>2098</v>
      </c>
      <c r="C87" s="702">
        <v>2</v>
      </c>
      <c r="D87" s="266" t="s">
        <v>2107</v>
      </c>
    </row>
    <row r="88" spans="1:4" ht="20.100000000000001" customHeight="1">
      <c r="A88" s="1082"/>
      <c r="B88" s="266" t="s">
        <v>2109</v>
      </c>
      <c r="C88" s="287">
        <f>C87*C86</f>
        <v>385.51994432990244</v>
      </c>
      <c r="D88" s="266" t="s">
        <v>2110</v>
      </c>
    </row>
    <row r="89" spans="1:4" ht="20.100000000000001" customHeight="1">
      <c r="A89" s="1082"/>
      <c r="B89" s="345" t="s">
        <v>2041</v>
      </c>
      <c r="C89" s="647"/>
      <c r="D89" s="266" t="s">
        <v>1238</v>
      </c>
    </row>
    <row r="90" spans="1:4" ht="20.100000000000001" customHeight="1">
      <c r="A90" s="1082"/>
      <c r="B90" s="345" t="s">
        <v>2042</v>
      </c>
      <c r="C90" s="331"/>
      <c r="D90" s="266" t="s">
        <v>1238</v>
      </c>
    </row>
    <row r="91" spans="1:4" ht="20.100000000000001" customHeight="1">
      <c r="A91" s="1082"/>
      <c r="B91" s="266" t="s">
        <v>2044</v>
      </c>
      <c r="C91" s="287">
        <f>C80*C88*360/C67/C70</f>
        <v>190.83237244330172</v>
      </c>
      <c r="D91" s="266" t="s">
        <v>2045</v>
      </c>
    </row>
    <row r="92" spans="1:4" ht="20.100000000000001" customHeight="1">
      <c r="A92" s="1083"/>
      <c r="B92" s="345" t="s">
        <v>1639</v>
      </c>
      <c r="C92" s="430"/>
      <c r="D92" s="266"/>
    </row>
    <row r="93" spans="1:4" ht="20.100000000000001" customHeight="1">
      <c r="A93" s="1372" t="s">
        <v>2158</v>
      </c>
      <c r="B93" s="1372"/>
      <c r="C93" s="1372"/>
      <c r="D93" s="1372"/>
    </row>
    <row r="94" spans="1:4" ht="20.100000000000001" customHeight="1">
      <c r="A94" s="507" t="s">
        <v>753</v>
      </c>
      <c r="B94" s="266" t="s">
        <v>754</v>
      </c>
      <c r="C94" s="653" t="s">
        <v>755</v>
      </c>
      <c r="D94" s="266" t="s">
        <v>762</v>
      </c>
    </row>
    <row r="95" spans="1:4" ht="20.100000000000001" customHeight="1">
      <c r="A95" s="543"/>
      <c r="B95" s="266" t="s">
        <v>2067</v>
      </c>
      <c r="C95" s="417">
        <f>0.5</f>
        <v>0.5</v>
      </c>
      <c r="D95" s="266"/>
    </row>
    <row r="96" spans="1:4" ht="20.100000000000001" customHeight="1">
      <c r="A96" s="543"/>
      <c r="B96" s="266" t="s">
        <v>2068</v>
      </c>
      <c r="C96" s="417">
        <v>15</v>
      </c>
      <c r="D96" s="266"/>
    </row>
    <row r="97" spans="1:9" ht="20.100000000000001" customHeight="1">
      <c r="A97" s="543"/>
      <c r="B97" s="266" t="s">
        <v>1927</v>
      </c>
      <c r="C97" s="653">
        <f>C95+C96</f>
        <v>15.5</v>
      </c>
      <c r="D97" s="266"/>
    </row>
    <row r="98" spans="1:9" ht="20.100000000000001" customHeight="1">
      <c r="A98" s="543"/>
      <c r="B98" s="266" t="s">
        <v>2164</v>
      </c>
      <c r="C98" s="417">
        <v>1.9</v>
      </c>
      <c r="D98" s="266"/>
    </row>
    <row r="99" spans="1:9" ht="20.100000000000001" customHeight="1">
      <c r="A99" s="543"/>
      <c r="B99" s="266" t="s">
        <v>2159</v>
      </c>
      <c r="C99" s="417">
        <v>0.05</v>
      </c>
      <c r="D99" s="266"/>
    </row>
    <row r="100" spans="1:9" ht="20.100000000000001" customHeight="1">
      <c r="A100" s="543"/>
      <c r="B100" s="266" t="s">
        <v>2181</v>
      </c>
      <c r="C100" s="417">
        <v>0</v>
      </c>
      <c r="D100" s="266"/>
    </row>
    <row r="101" spans="1:9" ht="20.100000000000001" customHeight="1">
      <c r="A101" s="543"/>
      <c r="B101" s="266" t="s">
        <v>2160</v>
      </c>
      <c r="C101" s="417">
        <v>300</v>
      </c>
      <c r="D101" s="266"/>
    </row>
    <row r="102" spans="1:9" ht="20.100000000000001" customHeight="1">
      <c r="A102" s="538" t="s">
        <v>2021</v>
      </c>
      <c r="B102" s="266" t="s">
        <v>2161</v>
      </c>
      <c r="C102" s="326">
        <v>1</v>
      </c>
      <c r="D102" s="345"/>
    </row>
    <row r="103" spans="1:9" ht="20.100000000000001" customHeight="1">
      <c r="A103" s="671"/>
      <c r="B103" s="266" t="s">
        <v>2162</v>
      </c>
      <c r="C103" s="326">
        <v>0.75</v>
      </c>
      <c r="D103" s="345"/>
    </row>
    <row r="104" spans="1:9" ht="20.100000000000001" customHeight="1">
      <c r="A104" s="671"/>
      <c r="B104" s="266" t="s">
        <v>2163</v>
      </c>
      <c r="C104" s="417">
        <v>60</v>
      </c>
      <c r="D104" s="266"/>
    </row>
    <row r="105" spans="1:9" ht="20.100000000000001" customHeight="1">
      <c r="A105" s="671"/>
      <c r="B105" s="266" t="s">
        <v>2167</v>
      </c>
      <c r="C105" s="653">
        <f>360/C104</f>
        <v>6</v>
      </c>
      <c r="D105" s="335" t="s">
        <v>2166</v>
      </c>
    </row>
    <row r="106" spans="1:9" ht="20.100000000000001" customHeight="1">
      <c r="A106" s="671"/>
      <c r="B106" s="266" t="s">
        <v>2165</v>
      </c>
      <c r="C106" s="417">
        <v>0.7</v>
      </c>
      <c r="D106" s="266"/>
    </row>
    <row r="107" spans="1:9" ht="20.100000000000001" customHeight="1">
      <c r="A107" s="671"/>
      <c r="B107" s="266" t="s">
        <v>2168</v>
      </c>
      <c r="C107" s="417">
        <v>300</v>
      </c>
      <c r="D107" s="285" t="s">
        <v>2094</v>
      </c>
    </row>
    <row r="108" spans="1:9" ht="20.100000000000001" customHeight="1">
      <c r="A108" s="671"/>
      <c r="B108" s="266" t="s">
        <v>2169</v>
      </c>
      <c r="C108" s="653">
        <f>0.5*C107</f>
        <v>150</v>
      </c>
      <c r="D108" s="266" t="s">
        <v>2171</v>
      </c>
    </row>
    <row r="109" spans="1:9" ht="20.100000000000001" customHeight="1">
      <c r="A109" s="671"/>
      <c r="B109" s="266" t="s">
        <v>2170</v>
      </c>
      <c r="C109" s="287">
        <f>C101*C105/2/PI()</f>
        <v>286.47889756541161</v>
      </c>
      <c r="D109" s="266" t="s">
        <v>2172</v>
      </c>
      <c r="F109" s="649"/>
      <c r="G109" s="654"/>
      <c r="H109" s="654"/>
      <c r="I109" s="654"/>
    </row>
    <row r="110" spans="1:9" ht="20.100000000000001" customHeight="1">
      <c r="A110" s="1291" t="s">
        <v>2047</v>
      </c>
      <c r="B110" s="266" t="s">
        <v>2023</v>
      </c>
      <c r="C110" s="287">
        <f>C102-C103</f>
        <v>0.25</v>
      </c>
      <c r="D110" s="345"/>
    </row>
    <row r="111" spans="1:9" ht="20.100000000000001" customHeight="1">
      <c r="A111" s="1291"/>
      <c r="B111" s="266" t="s">
        <v>2024</v>
      </c>
      <c r="C111" s="518">
        <f>(C102-C103)*360/C102</f>
        <v>90</v>
      </c>
      <c r="D111" s="266" t="str">
        <f>"需选择分度角≤"&amp;C111&amp;"°"</f>
        <v>需选择分度角≤90°</v>
      </c>
    </row>
    <row r="112" spans="1:9" ht="20.100000000000001" customHeight="1">
      <c r="A112" s="1291"/>
      <c r="B112" s="266" t="s">
        <v>2033</v>
      </c>
      <c r="C112" s="539">
        <v>90</v>
      </c>
      <c r="D112" s="490" t="s">
        <v>2025</v>
      </c>
    </row>
    <row r="113" spans="1:5" ht="20.100000000000001" customHeight="1">
      <c r="A113" s="670"/>
      <c r="B113" s="266" t="s">
        <v>2176</v>
      </c>
      <c r="C113" s="724">
        <v>0.06</v>
      </c>
      <c r="D113" s="380" t="s">
        <v>2173</v>
      </c>
    </row>
    <row r="114" spans="1:5" ht="20.100000000000001" customHeight="1">
      <c r="A114" s="670"/>
      <c r="B114" s="266" t="s">
        <v>2174</v>
      </c>
      <c r="C114" s="350">
        <f>C97*(C101/1000)^2</f>
        <v>1.395</v>
      </c>
      <c r="D114" s="380" t="s">
        <v>2175</v>
      </c>
    </row>
    <row r="115" spans="1:5" ht="20.100000000000001" customHeight="1">
      <c r="A115" s="670"/>
      <c r="B115" s="266" t="s">
        <v>2080</v>
      </c>
      <c r="C115" s="410">
        <f>(C113+C114)/C106</f>
        <v>2.0785714285714287</v>
      </c>
      <c r="D115" s="380" t="s">
        <v>2177</v>
      </c>
    </row>
    <row r="116" spans="1:5" ht="20.100000000000001" customHeight="1">
      <c r="A116" s="670"/>
      <c r="B116" s="266" t="s">
        <v>2087</v>
      </c>
      <c r="C116" s="410">
        <f>C115</f>
        <v>2.0785714285714287</v>
      </c>
      <c r="D116" s="380"/>
    </row>
    <row r="117" spans="1:5" ht="20.100000000000001" customHeight="1">
      <c r="A117" s="670" t="s">
        <v>2046</v>
      </c>
      <c r="B117" s="266" t="s">
        <v>2059</v>
      </c>
      <c r="C117" s="653">
        <f>60/C102</f>
        <v>60</v>
      </c>
      <c r="D117" s="490"/>
    </row>
    <row r="118" spans="1:5" ht="20.100000000000001" customHeight="1">
      <c r="A118" s="671"/>
      <c r="B118" s="345" t="s">
        <v>2030</v>
      </c>
      <c r="C118" s="540" t="s">
        <v>2031</v>
      </c>
      <c r="D118" s="490" t="s">
        <v>2037</v>
      </c>
    </row>
    <row r="119" spans="1:5" ht="20.100000000000001" customHeight="1">
      <c r="A119" s="671"/>
      <c r="B119" s="266" t="s">
        <v>2029</v>
      </c>
      <c r="C119" s="287">
        <f>IF(C118="修正梯形曲线",4.89,IF(C118="修正正弦曲线",5.53,IF(C118="修正等速曲线",8.01,"请选择凸轮曲线类型")))</f>
        <v>5.53</v>
      </c>
      <c r="D119" s="490" t="s">
        <v>1545</v>
      </c>
    </row>
    <row r="120" spans="1:5" ht="20.100000000000001" customHeight="1">
      <c r="A120" s="671"/>
      <c r="B120" s="266" t="s">
        <v>2039</v>
      </c>
      <c r="C120" s="287">
        <f>IF(C118="修正梯形曲线",1.65,IF(C118="修正正弦曲线",0.99,IF(C118="修正等速曲线",0.72,"请选择凸轮曲线类型")))</f>
        <v>0.99</v>
      </c>
      <c r="D120" s="490" t="s">
        <v>363</v>
      </c>
    </row>
    <row r="121" spans="1:5" ht="20.100000000000001" customHeight="1">
      <c r="A121" s="671"/>
      <c r="B121" s="266" t="s">
        <v>2097</v>
      </c>
      <c r="C121" s="379">
        <f>72*PI()*C119/C105*(C117/C112)^2</f>
        <v>92.656039329874957</v>
      </c>
      <c r="D121" s="266" t="s">
        <v>2178</v>
      </c>
    </row>
    <row r="122" spans="1:5" ht="20.100000000000001" customHeight="1">
      <c r="A122" s="671"/>
      <c r="B122" s="266" t="s">
        <v>2099</v>
      </c>
      <c r="C122" s="378">
        <f>C116*C121</f>
        <v>192.59219603566868</v>
      </c>
      <c r="D122" s="266" t="str">
        <f>ROUND(C122/9.8,4)&amp;" kgf.m"</f>
        <v>19.6523 kgf.m</v>
      </c>
      <c r="E122" s="503"/>
    </row>
    <row r="123" spans="1:5" ht="20.100000000000001" customHeight="1">
      <c r="A123" s="671"/>
      <c r="B123" s="266" t="s">
        <v>2088</v>
      </c>
      <c r="C123" s="542">
        <f>C97*9.8*C99</f>
        <v>7.5950000000000006</v>
      </c>
      <c r="D123" s="266" t="s">
        <v>2179</v>
      </c>
    </row>
    <row r="124" spans="1:5" ht="20.100000000000001" customHeight="1">
      <c r="A124" s="671"/>
      <c r="B124" s="266" t="s">
        <v>2182</v>
      </c>
      <c r="C124" s="542">
        <f>C123*C109/1000</f>
        <v>2.1758072270093014</v>
      </c>
      <c r="D124" s="266" t="s">
        <v>2180</v>
      </c>
    </row>
    <row r="125" spans="1:5" ht="20.100000000000001" customHeight="1">
      <c r="A125" s="266"/>
      <c r="B125" s="266" t="s">
        <v>2183</v>
      </c>
      <c r="C125" s="542">
        <f>C100*C107/1000</f>
        <v>0</v>
      </c>
      <c r="D125" s="266" t="s">
        <v>2184</v>
      </c>
    </row>
    <row r="126" spans="1:5" ht="20.100000000000001" customHeight="1">
      <c r="A126" s="671"/>
      <c r="B126" s="266" t="s">
        <v>2108</v>
      </c>
      <c r="C126" s="542">
        <f>C125+C124+C122</f>
        <v>194.76800326267798</v>
      </c>
      <c r="D126" s="266" t="s">
        <v>2185</v>
      </c>
    </row>
    <row r="127" spans="1:5" ht="20.100000000000001" customHeight="1">
      <c r="A127" s="671"/>
      <c r="B127" s="266" t="s">
        <v>2098</v>
      </c>
      <c r="C127" s="702">
        <v>1.2</v>
      </c>
      <c r="D127" s="266" t="s">
        <v>2157</v>
      </c>
    </row>
    <row r="128" spans="1:5" ht="20.100000000000001" customHeight="1">
      <c r="A128" s="671"/>
      <c r="B128" s="266" t="s">
        <v>2109</v>
      </c>
      <c r="C128" s="287">
        <f>C127*C126</f>
        <v>233.72160391521356</v>
      </c>
      <c r="D128" s="266" t="s">
        <v>2110</v>
      </c>
    </row>
    <row r="129" spans="1:6" ht="20.100000000000001" customHeight="1">
      <c r="A129" s="671"/>
      <c r="B129" s="345" t="s">
        <v>2041</v>
      </c>
      <c r="C129" s="647"/>
      <c r="D129" s="266" t="s">
        <v>1238</v>
      </c>
    </row>
    <row r="130" spans="1:6" ht="20.100000000000001" customHeight="1">
      <c r="A130" s="671"/>
      <c r="B130" s="345" t="s">
        <v>2042</v>
      </c>
      <c r="C130" s="331"/>
      <c r="D130" s="266" t="s">
        <v>1238</v>
      </c>
    </row>
    <row r="131" spans="1:6" ht="20.100000000000001" customHeight="1">
      <c r="A131" s="671"/>
      <c r="B131" s="266" t="s">
        <v>2044</v>
      </c>
      <c r="C131" s="287">
        <f>C120*C128*360/C105/C112</f>
        <v>154.25625858404095</v>
      </c>
      <c r="D131" s="266" t="s">
        <v>2186</v>
      </c>
    </row>
    <row r="132" spans="1:6" ht="20.100000000000001" customHeight="1">
      <c r="A132" s="672"/>
      <c r="B132" s="345" t="s">
        <v>1639</v>
      </c>
      <c r="C132" s="430"/>
      <c r="D132" s="266"/>
      <c r="F132" s="262" t="s">
        <v>2191</v>
      </c>
    </row>
    <row r="133" spans="1:6" ht="20.100000000000001" customHeight="1">
      <c r="A133" s="1340" t="s">
        <v>2188</v>
      </c>
      <c r="B133" s="1224"/>
      <c r="C133" s="1224"/>
      <c r="D133" s="1341"/>
    </row>
    <row r="134" spans="1:6" ht="20.100000000000001" customHeight="1">
      <c r="A134" s="1342"/>
      <c r="B134" s="1032"/>
      <c r="C134" s="1032"/>
      <c r="D134" s="1343"/>
    </row>
    <row r="135" spans="1:6" ht="20.100000000000001" customHeight="1">
      <c r="A135" s="1342"/>
      <c r="B135" s="1032"/>
      <c r="C135" s="1032"/>
      <c r="D135" s="1343"/>
    </row>
    <row r="136" spans="1:6" ht="20.100000000000001" customHeight="1">
      <c r="A136" s="1342"/>
      <c r="B136" s="1032"/>
      <c r="C136" s="1032"/>
      <c r="D136" s="1343"/>
    </row>
    <row r="137" spans="1:6" ht="20.100000000000001" customHeight="1">
      <c r="A137" s="262" t="s">
        <v>2187</v>
      </c>
      <c r="B137" s="389"/>
      <c r="C137" s="389"/>
      <c r="D137" s="555"/>
    </row>
    <row r="138" spans="1:6" ht="20.100000000000001" customHeight="1">
      <c r="A138" s="554"/>
      <c r="B138" s="389"/>
      <c r="C138" s="389"/>
      <c r="D138" s="555"/>
    </row>
    <row r="139" spans="1:6" ht="20.100000000000001" customHeight="1">
      <c r="A139" s="554"/>
      <c r="B139" s="389"/>
      <c r="C139" s="389"/>
      <c r="D139" s="555"/>
    </row>
    <row r="140" spans="1:6" ht="20.100000000000001" customHeight="1">
      <c r="A140" s="554"/>
      <c r="B140" s="389"/>
      <c r="C140" s="389"/>
      <c r="D140" s="555"/>
    </row>
    <row r="141" spans="1:6" ht="20.100000000000001" customHeight="1">
      <c r="A141" s="554"/>
      <c r="B141" s="389"/>
      <c r="C141" s="389"/>
      <c r="D141" s="555"/>
      <c r="F141" s="333" t="s">
        <v>2189</v>
      </c>
    </row>
    <row r="142" spans="1:6" ht="20.100000000000001" customHeight="1">
      <c r="A142" s="554"/>
      <c r="B142" s="389"/>
      <c r="C142" s="389"/>
      <c r="D142" s="555"/>
    </row>
    <row r="143" spans="1:6" ht="20.100000000000001" customHeight="1">
      <c r="A143" s="554"/>
      <c r="B143" s="389"/>
      <c r="C143" s="389"/>
      <c r="D143" s="555"/>
    </row>
    <row r="144" spans="1:6" ht="20.100000000000001" customHeight="1">
      <c r="A144" s="554"/>
      <c r="B144" s="389"/>
      <c r="C144" s="389"/>
      <c r="D144" s="555"/>
    </row>
    <row r="145" spans="1:4" ht="20.100000000000001" customHeight="1">
      <c r="A145" s="554"/>
      <c r="B145" s="389"/>
      <c r="C145" s="389"/>
      <c r="D145" s="555"/>
    </row>
    <row r="146" spans="1:4" ht="20.100000000000001" customHeight="1">
      <c r="A146" s="554"/>
      <c r="B146" s="389"/>
      <c r="C146" s="389"/>
      <c r="D146" s="555"/>
    </row>
    <row r="147" spans="1:4" ht="20.100000000000001" customHeight="1">
      <c r="A147" s="554"/>
      <c r="B147" s="389"/>
      <c r="C147" s="389"/>
      <c r="D147" s="555"/>
    </row>
    <row r="148" spans="1:4" ht="20.100000000000001" customHeight="1">
      <c r="A148" s="554"/>
      <c r="B148" s="389"/>
      <c r="C148" s="389"/>
      <c r="D148" s="555"/>
    </row>
    <row r="149" spans="1:4" ht="20.100000000000001" customHeight="1">
      <c r="A149" s="554"/>
      <c r="B149" s="389"/>
      <c r="C149" s="389"/>
      <c r="D149" s="555"/>
    </row>
    <row r="150" spans="1:4" ht="20.100000000000001" customHeight="1">
      <c r="A150" s="554"/>
      <c r="B150" s="389"/>
      <c r="C150" s="389"/>
      <c r="D150" s="555"/>
    </row>
    <row r="151" spans="1:4" ht="20.100000000000001" customHeight="1">
      <c r="A151" s="554"/>
      <c r="B151" s="389"/>
      <c r="C151" s="389"/>
      <c r="D151" s="555"/>
    </row>
    <row r="152" spans="1:4" ht="20.100000000000001" customHeight="1">
      <c r="A152" s="554"/>
      <c r="B152" s="389"/>
      <c r="C152" s="389"/>
      <c r="D152" s="555"/>
    </row>
    <row r="153" spans="1:4" ht="20.100000000000001" customHeight="1">
      <c r="A153" s="554"/>
      <c r="B153" s="389"/>
      <c r="C153" s="389"/>
      <c r="D153" s="555"/>
    </row>
    <row r="154" spans="1:4" ht="20.100000000000001" customHeight="1">
      <c r="A154" s="556"/>
      <c r="B154" s="557"/>
      <c r="C154" s="557"/>
      <c r="D154" s="558"/>
    </row>
    <row r="155" spans="1:4" ht="20.100000000000001" customHeight="1">
      <c r="A155" s="1374" t="s">
        <v>2190</v>
      </c>
      <c r="B155" s="1374"/>
      <c r="C155" s="1374"/>
      <c r="D155" s="1374"/>
    </row>
    <row r="156" spans="1:4" ht="20.100000000000001" customHeight="1">
      <c r="A156" s="1374"/>
      <c r="B156" s="1374"/>
      <c r="C156" s="1374"/>
      <c r="D156" s="1374"/>
    </row>
    <row r="157" spans="1:4" ht="20.100000000000001" customHeight="1">
      <c r="A157" s="1374"/>
      <c r="B157" s="1374"/>
      <c r="C157" s="1374"/>
      <c r="D157" s="1374"/>
    </row>
    <row r="158" spans="1:4" ht="20.100000000000001" customHeight="1">
      <c r="A158" s="1374"/>
      <c r="B158" s="1374"/>
      <c r="C158" s="1374"/>
      <c r="D158" s="1374"/>
    </row>
    <row r="159" spans="1:4" ht="20.100000000000001" customHeight="1">
      <c r="A159" s="1374"/>
      <c r="B159" s="1374"/>
      <c r="C159" s="1374"/>
      <c r="D159" s="1374"/>
    </row>
    <row r="160" spans="1:4" ht="20.100000000000001" customHeight="1">
      <c r="A160" s="1374"/>
      <c r="B160" s="1374"/>
      <c r="C160" s="1374"/>
      <c r="D160" s="1374"/>
    </row>
    <row r="161" spans="1:4" ht="20.100000000000001" customHeight="1">
      <c r="A161" s="559"/>
      <c r="B161" s="560"/>
      <c r="C161" s="560"/>
      <c r="D161" s="560"/>
    </row>
    <row r="162" spans="1:4" ht="20.100000000000001" customHeight="1">
      <c r="A162" s="559"/>
      <c r="B162" s="560"/>
      <c r="C162" s="560"/>
      <c r="D162" s="560"/>
    </row>
    <row r="163" spans="1:4" ht="20.100000000000001" customHeight="1">
      <c r="A163" s="560"/>
      <c r="B163" s="560"/>
      <c r="C163" s="560"/>
      <c r="D163" s="560"/>
    </row>
  </sheetData>
  <sheetProtection password="828E" sheet="1" objects="1" scenarios="1"/>
  <dataConsolidate/>
  <mergeCells count="17">
    <mergeCell ref="A71:A92"/>
    <mergeCell ref="A133:D136"/>
    <mergeCell ref="A155:D160"/>
    <mergeCell ref="A51:D51"/>
    <mergeCell ref="A68:A70"/>
    <mergeCell ref="A93:D93"/>
    <mergeCell ref="A110:A112"/>
    <mergeCell ref="A53:A67"/>
    <mergeCell ref="A36:A50"/>
    <mergeCell ref="A1:D1"/>
    <mergeCell ref="A2:D2"/>
    <mergeCell ref="A8:A10"/>
    <mergeCell ref="A33:A35"/>
    <mergeCell ref="A24:D24"/>
    <mergeCell ref="A4:A7"/>
    <mergeCell ref="A11:A23"/>
    <mergeCell ref="A26:A32"/>
  </mergeCells>
  <phoneticPr fontId="4" type="noConversion"/>
  <dataValidations count="1">
    <dataValidation type="list" allowBlank="1" showInputMessage="1" showErrorMessage="1" prompt="请选择" sqref="C118 C78 C12 C37">
      <formula1>"修正梯形曲线,修正正弦曲线,修正等速曲线"</formula1>
    </dataValidation>
  </dataValidation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sheetPr codeName="Sheet91"/>
  <dimension ref="A1:F113"/>
  <sheetViews>
    <sheetView workbookViewId="0">
      <selection activeCell="B3" sqref="B3"/>
    </sheetView>
  </sheetViews>
  <sheetFormatPr defaultRowHeight="14.25"/>
  <cols>
    <col min="1" max="1" width="6.625" style="261" customWidth="1"/>
    <col min="2" max="3" width="7.375" style="261" customWidth="1"/>
    <col min="4" max="4" width="9" style="261"/>
    <col min="5" max="5" width="10.125" style="261" customWidth="1"/>
    <col min="6" max="16384" width="9" style="261"/>
  </cols>
  <sheetData>
    <row r="1" spans="1:6" ht="21.95" customHeight="1">
      <c r="A1" s="1382" t="s">
        <v>2773</v>
      </c>
      <c r="B1" s="1383"/>
      <c r="C1" s="1383"/>
      <c r="D1" s="1383"/>
      <c r="E1" s="1383"/>
      <c r="F1" s="1383"/>
    </row>
    <row r="2" spans="1:6">
      <c r="A2" s="1380" t="s">
        <v>1158</v>
      </c>
      <c r="B2" s="271" t="s">
        <v>702</v>
      </c>
      <c r="C2" s="271" t="s">
        <v>703</v>
      </c>
      <c r="D2" s="271" t="s">
        <v>704</v>
      </c>
      <c r="E2" s="271" t="s">
        <v>705</v>
      </c>
      <c r="F2" s="376" t="s">
        <v>701</v>
      </c>
    </row>
    <row r="3" spans="1:6" ht="22.5" customHeight="1">
      <c r="A3" s="1381"/>
      <c r="B3" s="466">
        <v>20</v>
      </c>
      <c r="C3" s="462">
        <f>0.00067428877200193*B3^3+0.0769579724387395*B3^2+0.747191479924092*B3+173.445847061641</f>
        <v>224.56717581163406</v>
      </c>
      <c r="D3" s="462">
        <f xml:space="preserve"> 4.2248828596714E-07 *B3^5 - 0.0000323532476028121  *B3^4 + 0.00207900971981279  *B3^3 + 0.000918507031840821  *B3^2 + 3.45696538194792  *B3 + 143.829462674744</f>
        <v>226.14369378358597</v>
      </c>
      <c r="E3" s="462">
        <f>0.00054403372458367*B3^4 - 0.0607985540379445 *B3^3 + 2.80959255786399 *B3^2 - 38.8478615371778 *B3 + 827.370542708738</f>
        <v>774.90729874060924</v>
      </c>
      <c r="F3" s="462">
        <f>0.000915795530559649*B3^4-0.103372270706586*B3^3+4.62246067206115*B3^2-73.5662561641511*B3+1043.73197169709</f>
        <v>740.94023647538393</v>
      </c>
    </row>
    <row r="4" spans="1:6">
      <c r="A4" s="463"/>
      <c r="B4" s="463"/>
    </row>
    <row r="5" spans="1:6">
      <c r="A5" s="464" t="s">
        <v>706</v>
      </c>
      <c r="B5" s="463"/>
    </row>
    <row r="6" spans="1:6">
      <c r="A6" s="271" t="s">
        <v>696</v>
      </c>
      <c r="B6" s="271" t="s">
        <v>697</v>
      </c>
      <c r="C6" s="271" t="s">
        <v>698</v>
      </c>
      <c r="D6" s="376" t="s">
        <v>700</v>
      </c>
      <c r="E6" s="376" t="s">
        <v>701</v>
      </c>
    </row>
    <row r="7" spans="1:6">
      <c r="A7" s="271">
        <v>17</v>
      </c>
      <c r="B7" s="465">
        <v>211</v>
      </c>
      <c r="C7" s="271">
        <v>211</v>
      </c>
      <c r="D7" s="465"/>
      <c r="E7" s="271"/>
    </row>
    <row r="8" spans="1:6">
      <c r="A8" s="271">
        <v>17.5</v>
      </c>
      <c r="B8" s="465">
        <v>214</v>
      </c>
      <c r="C8" s="271">
        <v>214</v>
      </c>
      <c r="D8" s="465"/>
      <c r="E8" s="271"/>
    </row>
    <row r="9" spans="1:6">
      <c r="A9" s="271">
        <v>18</v>
      </c>
      <c r="B9" s="465">
        <v>216</v>
      </c>
      <c r="C9" s="271">
        <v>216</v>
      </c>
      <c r="D9" s="465"/>
      <c r="E9" s="271"/>
    </row>
    <row r="10" spans="1:6">
      <c r="A10" s="271">
        <v>18.5</v>
      </c>
      <c r="B10" s="465">
        <v>218</v>
      </c>
      <c r="C10" s="271">
        <v>218</v>
      </c>
      <c r="D10" s="465"/>
      <c r="E10" s="271"/>
    </row>
    <row r="11" spans="1:6">
      <c r="A11" s="271">
        <v>19</v>
      </c>
      <c r="B11" s="465">
        <v>220</v>
      </c>
      <c r="C11" s="271">
        <v>221</v>
      </c>
      <c r="D11" s="465"/>
      <c r="E11" s="271"/>
    </row>
    <row r="12" spans="1:6">
      <c r="A12" s="271">
        <v>19.5</v>
      </c>
      <c r="B12" s="465">
        <v>222</v>
      </c>
      <c r="C12" s="271">
        <v>223</v>
      </c>
      <c r="D12" s="465"/>
      <c r="E12" s="271"/>
    </row>
    <row r="13" spans="1:6">
      <c r="A13" s="271">
        <v>20</v>
      </c>
      <c r="B13" s="465">
        <v>225</v>
      </c>
      <c r="C13" s="271">
        <v>226</v>
      </c>
      <c r="D13" s="465">
        <v>774</v>
      </c>
      <c r="E13" s="271">
        <v>740</v>
      </c>
    </row>
    <row r="14" spans="1:6">
      <c r="A14" s="271">
        <v>20.5</v>
      </c>
      <c r="B14" s="465">
        <v>227</v>
      </c>
      <c r="C14" s="271">
        <v>229</v>
      </c>
      <c r="D14" s="465">
        <v>784</v>
      </c>
      <c r="E14" s="271">
        <v>749</v>
      </c>
    </row>
    <row r="15" spans="1:6">
      <c r="A15" s="271">
        <v>21</v>
      </c>
      <c r="B15" s="465">
        <v>229</v>
      </c>
      <c r="C15" s="271">
        <v>231</v>
      </c>
      <c r="D15" s="465">
        <v>793</v>
      </c>
      <c r="E15" s="271">
        <v>758</v>
      </c>
    </row>
    <row r="16" spans="1:6">
      <c r="A16" s="271">
        <v>21.5</v>
      </c>
      <c r="B16" s="465">
        <v>232</v>
      </c>
      <c r="C16" s="271">
        <v>234</v>
      </c>
      <c r="D16" s="465">
        <v>803</v>
      </c>
      <c r="E16" s="271">
        <v>767</v>
      </c>
    </row>
    <row r="17" spans="1:5">
      <c r="A17" s="271">
        <v>22</v>
      </c>
      <c r="B17" s="465">
        <v>234</v>
      </c>
      <c r="C17" s="271">
        <v>237</v>
      </c>
      <c r="D17" s="465">
        <v>813</v>
      </c>
      <c r="E17" s="271">
        <v>777</v>
      </c>
    </row>
    <row r="18" spans="1:5">
      <c r="A18" s="271">
        <v>22.5</v>
      </c>
      <c r="B18" s="465">
        <v>237</v>
      </c>
      <c r="C18" s="271">
        <v>240</v>
      </c>
      <c r="D18" s="465">
        <v>823</v>
      </c>
      <c r="E18" s="271">
        <v>786</v>
      </c>
    </row>
    <row r="19" spans="1:5">
      <c r="A19" s="271">
        <v>23</v>
      </c>
      <c r="B19" s="465">
        <v>240</v>
      </c>
      <c r="C19" s="271">
        <v>243</v>
      </c>
      <c r="D19" s="465">
        <v>833</v>
      </c>
      <c r="E19" s="271">
        <v>796</v>
      </c>
    </row>
    <row r="20" spans="1:5">
      <c r="A20" s="271">
        <v>23.5</v>
      </c>
      <c r="B20" s="465">
        <v>242</v>
      </c>
      <c r="C20" s="271">
        <v>246</v>
      </c>
      <c r="D20" s="465">
        <v>843</v>
      </c>
      <c r="E20" s="271">
        <v>806</v>
      </c>
    </row>
    <row r="21" spans="1:5">
      <c r="A21" s="271">
        <v>24</v>
      </c>
      <c r="B21" s="465">
        <v>245</v>
      </c>
      <c r="C21" s="271">
        <v>249</v>
      </c>
      <c r="D21" s="465">
        <v>854</v>
      </c>
      <c r="E21" s="271">
        <v>816</v>
      </c>
    </row>
    <row r="22" spans="1:5">
      <c r="A22" s="271">
        <v>24.5</v>
      </c>
      <c r="B22" s="465">
        <v>248</v>
      </c>
      <c r="C22" s="271">
        <v>252</v>
      </c>
      <c r="D22" s="465">
        <v>864</v>
      </c>
      <c r="E22" s="271">
        <v>826</v>
      </c>
    </row>
    <row r="23" spans="1:5">
      <c r="A23" s="271">
        <v>25</v>
      </c>
      <c r="B23" s="465">
        <v>251</v>
      </c>
      <c r="C23" s="271">
        <v>255</v>
      </c>
      <c r="D23" s="465">
        <v>875</v>
      </c>
      <c r="E23" s="271">
        <v>837</v>
      </c>
    </row>
    <row r="24" spans="1:5">
      <c r="A24" s="271">
        <v>25.5</v>
      </c>
      <c r="B24" s="465">
        <v>254</v>
      </c>
      <c r="C24" s="271">
        <v>258</v>
      </c>
      <c r="D24" s="465">
        <v>886</v>
      </c>
      <c r="E24" s="271">
        <v>847</v>
      </c>
    </row>
    <row r="25" spans="1:5">
      <c r="A25" s="271">
        <v>26</v>
      </c>
      <c r="B25" s="465">
        <v>257</v>
      </c>
      <c r="C25" s="271">
        <v>261</v>
      </c>
      <c r="D25" s="465">
        <v>897</v>
      </c>
      <c r="E25" s="271">
        <v>858</v>
      </c>
    </row>
    <row r="26" spans="1:5">
      <c r="A26" s="271">
        <v>26.5</v>
      </c>
      <c r="B26" s="465">
        <v>260</v>
      </c>
      <c r="C26" s="271">
        <v>264</v>
      </c>
      <c r="D26" s="465">
        <v>908</v>
      </c>
      <c r="E26" s="271">
        <v>868</v>
      </c>
    </row>
    <row r="27" spans="1:5">
      <c r="A27" s="271">
        <v>27</v>
      </c>
      <c r="B27" s="465">
        <v>263</v>
      </c>
      <c r="C27" s="271">
        <v>268</v>
      </c>
      <c r="D27" s="465">
        <v>919</v>
      </c>
      <c r="E27" s="271">
        <v>879</v>
      </c>
    </row>
    <row r="28" spans="1:5">
      <c r="A28" s="271">
        <v>27.5</v>
      </c>
      <c r="B28" s="465">
        <v>266</v>
      </c>
      <c r="C28" s="271">
        <v>271</v>
      </c>
      <c r="D28" s="465">
        <v>930</v>
      </c>
      <c r="E28" s="271">
        <v>890</v>
      </c>
    </row>
    <row r="29" spans="1:5">
      <c r="A29" s="271">
        <v>28</v>
      </c>
      <c r="B29" s="465">
        <v>269</v>
      </c>
      <c r="C29" s="271">
        <v>274</v>
      </c>
      <c r="D29" s="465">
        <v>942</v>
      </c>
      <c r="E29" s="271">
        <v>901</v>
      </c>
    </row>
    <row r="30" spans="1:5">
      <c r="A30" s="271">
        <v>28.5</v>
      </c>
      <c r="B30" s="465">
        <v>273</v>
      </c>
      <c r="C30" s="271">
        <v>278</v>
      </c>
      <c r="D30" s="465">
        <v>954</v>
      </c>
      <c r="E30" s="271">
        <v>913</v>
      </c>
    </row>
    <row r="31" spans="1:5">
      <c r="A31" s="271">
        <v>29</v>
      </c>
      <c r="B31" s="465">
        <v>276</v>
      </c>
      <c r="C31" s="271">
        <v>281</v>
      </c>
      <c r="D31" s="465">
        <v>965</v>
      </c>
      <c r="E31" s="271">
        <v>924</v>
      </c>
    </row>
    <row r="32" spans="1:5">
      <c r="A32" s="271">
        <v>29.5</v>
      </c>
      <c r="B32" s="465">
        <v>280</v>
      </c>
      <c r="C32" s="271">
        <v>285</v>
      </c>
      <c r="D32" s="465">
        <v>977</v>
      </c>
      <c r="E32" s="271">
        <v>936</v>
      </c>
    </row>
    <row r="33" spans="1:5">
      <c r="A33" s="271">
        <v>30</v>
      </c>
      <c r="B33" s="465">
        <v>283</v>
      </c>
      <c r="C33" s="271">
        <v>288</v>
      </c>
      <c r="D33" s="465">
        <v>989</v>
      </c>
      <c r="E33" s="271">
        <v>947</v>
      </c>
    </row>
    <row r="34" spans="1:5">
      <c r="A34" s="271">
        <v>30.5</v>
      </c>
      <c r="B34" s="465">
        <v>287</v>
      </c>
      <c r="C34" s="271">
        <v>292</v>
      </c>
      <c r="D34" s="465">
        <v>1002</v>
      </c>
      <c r="E34" s="271">
        <v>959</v>
      </c>
    </row>
    <row r="35" spans="1:5">
      <c r="A35" s="271">
        <v>31</v>
      </c>
      <c r="B35" s="465">
        <v>291</v>
      </c>
      <c r="C35" s="271">
        <v>296</v>
      </c>
      <c r="D35" s="465">
        <v>1014</v>
      </c>
      <c r="E35" s="271">
        <v>971</v>
      </c>
    </row>
    <row r="36" spans="1:5">
      <c r="A36" s="271">
        <v>31.5</v>
      </c>
      <c r="B36" s="465">
        <v>294</v>
      </c>
      <c r="C36" s="271">
        <v>300</v>
      </c>
      <c r="D36" s="465">
        <v>1027</v>
      </c>
      <c r="E36" s="271">
        <v>983</v>
      </c>
    </row>
    <row r="37" spans="1:5">
      <c r="A37" s="271">
        <v>32</v>
      </c>
      <c r="B37" s="465">
        <v>298</v>
      </c>
      <c r="C37" s="271">
        <v>304</v>
      </c>
      <c r="D37" s="465">
        <v>1039</v>
      </c>
      <c r="E37" s="271">
        <v>996</v>
      </c>
    </row>
    <row r="38" spans="1:5">
      <c r="A38" s="271">
        <v>32.5</v>
      </c>
      <c r="B38" s="465">
        <v>302</v>
      </c>
      <c r="C38" s="271">
        <v>308</v>
      </c>
      <c r="D38" s="465">
        <v>1052</v>
      </c>
      <c r="E38" s="271">
        <v>1008</v>
      </c>
    </row>
    <row r="39" spans="1:5">
      <c r="A39" s="271">
        <v>33</v>
      </c>
      <c r="B39" s="465">
        <v>306</v>
      </c>
      <c r="C39" s="271">
        <v>312</v>
      </c>
      <c r="D39" s="465">
        <v>1065</v>
      </c>
      <c r="E39" s="271">
        <v>1021</v>
      </c>
    </row>
    <row r="40" spans="1:5">
      <c r="A40" s="271">
        <v>33.5</v>
      </c>
      <c r="B40" s="465">
        <v>310</v>
      </c>
      <c r="C40" s="271">
        <v>316</v>
      </c>
      <c r="D40" s="465">
        <v>1078</v>
      </c>
      <c r="E40" s="271">
        <v>1034</v>
      </c>
    </row>
    <row r="41" spans="1:5">
      <c r="A41" s="271">
        <v>34</v>
      </c>
      <c r="B41" s="465">
        <v>314</v>
      </c>
      <c r="C41" s="271">
        <v>320</v>
      </c>
      <c r="D41" s="465">
        <v>1092</v>
      </c>
      <c r="E41" s="271">
        <v>1047</v>
      </c>
    </row>
    <row r="42" spans="1:5">
      <c r="A42" s="271">
        <v>34.5</v>
      </c>
      <c r="B42" s="465">
        <v>318</v>
      </c>
      <c r="C42" s="271">
        <v>324</v>
      </c>
      <c r="D42" s="465">
        <v>1105</v>
      </c>
      <c r="E42" s="271">
        <v>1060</v>
      </c>
    </row>
    <row r="43" spans="1:5">
      <c r="A43" s="271">
        <v>35</v>
      </c>
      <c r="B43" s="465">
        <v>323</v>
      </c>
      <c r="C43" s="271">
        <v>329</v>
      </c>
      <c r="D43" s="465">
        <v>1119</v>
      </c>
      <c r="E43" s="271">
        <v>1074</v>
      </c>
    </row>
    <row r="44" spans="1:5">
      <c r="A44" s="271">
        <v>35.5</v>
      </c>
      <c r="B44" s="465">
        <v>327</v>
      </c>
      <c r="C44" s="271">
        <v>333</v>
      </c>
      <c r="D44" s="465">
        <v>1133</v>
      </c>
      <c r="E44" s="271">
        <v>1087</v>
      </c>
    </row>
    <row r="45" spans="1:5">
      <c r="A45" s="271">
        <v>36</v>
      </c>
      <c r="B45" s="465">
        <v>332</v>
      </c>
      <c r="C45" s="271">
        <v>338</v>
      </c>
      <c r="D45" s="465">
        <v>1147</v>
      </c>
      <c r="E45" s="271">
        <v>1101</v>
      </c>
    </row>
    <row r="46" spans="1:5">
      <c r="A46" s="271">
        <v>36.5</v>
      </c>
      <c r="B46" s="465">
        <v>336</v>
      </c>
      <c r="C46" s="271">
        <v>342</v>
      </c>
      <c r="D46" s="465">
        <v>1162</v>
      </c>
      <c r="E46" s="271">
        <v>1116</v>
      </c>
    </row>
    <row r="47" spans="1:5">
      <c r="A47" s="271">
        <v>37</v>
      </c>
      <c r="B47" s="465">
        <v>341</v>
      </c>
      <c r="C47" s="271">
        <v>347</v>
      </c>
      <c r="D47" s="465">
        <v>1177</v>
      </c>
      <c r="E47" s="271">
        <v>1130</v>
      </c>
    </row>
    <row r="48" spans="1:5">
      <c r="A48" s="271">
        <v>37.5</v>
      </c>
      <c r="B48" s="465">
        <v>345</v>
      </c>
      <c r="C48" s="271">
        <v>352</v>
      </c>
      <c r="D48" s="465">
        <v>1192</v>
      </c>
      <c r="E48" s="271">
        <v>1145</v>
      </c>
    </row>
    <row r="49" spans="1:5">
      <c r="A49" s="271">
        <v>38</v>
      </c>
      <c r="B49" s="465">
        <v>350</v>
      </c>
      <c r="C49" s="271">
        <v>357</v>
      </c>
      <c r="D49" s="465">
        <v>1207</v>
      </c>
      <c r="E49" s="271">
        <v>1161</v>
      </c>
    </row>
    <row r="50" spans="1:5">
      <c r="A50" s="271">
        <v>38.5</v>
      </c>
      <c r="B50" s="465">
        <v>355</v>
      </c>
      <c r="C50" s="271">
        <v>362</v>
      </c>
      <c r="D50" s="465">
        <v>1222</v>
      </c>
      <c r="E50" s="271">
        <v>1176</v>
      </c>
    </row>
    <row r="51" spans="1:5">
      <c r="A51" s="271">
        <v>39</v>
      </c>
      <c r="B51" s="465">
        <v>360</v>
      </c>
      <c r="C51" s="271">
        <v>367</v>
      </c>
      <c r="D51" s="465">
        <v>1238</v>
      </c>
      <c r="E51" s="271">
        <v>1193</v>
      </c>
    </row>
    <row r="52" spans="1:5">
      <c r="A52" s="271">
        <v>39.5</v>
      </c>
      <c r="B52" s="465">
        <v>365</v>
      </c>
      <c r="C52" s="271">
        <v>372</v>
      </c>
      <c r="D52" s="465">
        <v>1254</v>
      </c>
      <c r="E52" s="271">
        <v>1209</v>
      </c>
    </row>
    <row r="53" spans="1:5">
      <c r="A53" s="271">
        <v>40</v>
      </c>
      <c r="B53" s="465">
        <v>370</v>
      </c>
      <c r="C53" s="271">
        <v>377</v>
      </c>
      <c r="D53" s="465">
        <v>1271</v>
      </c>
      <c r="E53" s="271">
        <v>1226</v>
      </c>
    </row>
    <row r="54" spans="1:5">
      <c r="A54" s="271">
        <v>40.5</v>
      </c>
      <c r="B54" s="465">
        <v>375</v>
      </c>
      <c r="C54" s="271">
        <v>382</v>
      </c>
      <c r="D54" s="465">
        <v>1288</v>
      </c>
      <c r="E54" s="271">
        <v>1244</v>
      </c>
    </row>
    <row r="55" spans="1:5">
      <c r="A55" s="271">
        <v>41</v>
      </c>
      <c r="B55" s="465">
        <v>380</v>
      </c>
      <c r="C55" s="271">
        <v>388</v>
      </c>
      <c r="D55" s="465">
        <v>1305</v>
      </c>
      <c r="E55" s="271">
        <v>1262</v>
      </c>
    </row>
    <row r="56" spans="1:5">
      <c r="A56" s="271">
        <v>41.5</v>
      </c>
      <c r="B56" s="465">
        <v>385</v>
      </c>
      <c r="C56" s="271">
        <v>393</v>
      </c>
      <c r="D56" s="465">
        <v>1322</v>
      </c>
      <c r="E56" s="271">
        <v>1280</v>
      </c>
    </row>
    <row r="57" spans="1:5">
      <c r="A57" s="271">
        <v>42</v>
      </c>
      <c r="B57" s="465">
        <v>391</v>
      </c>
      <c r="C57" s="271">
        <v>399</v>
      </c>
      <c r="D57" s="465">
        <v>1340</v>
      </c>
      <c r="E57" s="271">
        <v>1299</v>
      </c>
    </row>
    <row r="58" spans="1:5">
      <c r="A58" s="271">
        <v>42.5</v>
      </c>
      <c r="B58" s="465">
        <v>396</v>
      </c>
      <c r="C58" s="271">
        <v>405</v>
      </c>
      <c r="D58" s="465">
        <v>1359</v>
      </c>
      <c r="E58" s="271">
        <v>1319</v>
      </c>
    </row>
    <row r="59" spans="1:5">
      <c r="A59" s="271">
        <v>43</v>
      </c>
      <c r="B59" s="465">
        <v>401</v>
      </c>
      <c r="C59" s="271">
        <v>411</v>
      </c>
      <c r="D59" s="465">
        <v>1378</v>
      </c>
      <c r="E59" s="271">
        <v>1339</v>
      </c>
    </row>
    <row r="60" spans="1:5">
      <c r="A60" s="271">
        <v>43.5</v>
      </c>
      <c r="B60" s="465">
        <v>407</v>
      </c>
      <c r="C60" s="271">
        <v>417</v>
      </c>
      <c r="D60" s="465">
        <v>1397</v>
      </c>
      <c r="E60" s="271">
        <v>1361</v>
      </c>
    </row>
    <row r="61" spans="1:5">
      <c r="A61" s="271">
        <v>44</v>
      </c>
      <c r="B61" s="465">
        <v>413</v>
      </c>
      <c r="C61" s="271">
        <v>423</v>
      </c>
      <c r="D61" s="465">
        <v>1417</v>
      </c>
      <c r="E61" s="271">
        <v>1383</v>
      </c>
    </row>
    <row r="62" spans="1:5">
      <c r="A62" s="271">
        <v>44.5</v>
      </c>
      <c r="B62" s="465">
        <v>418</v>
      </c>
      <c r="C62" s="271">
        <v>429</v>
      </c>
      <c r="D62" s="465">
        <v>1438</v>
      </c>
      <c r="E62" s="271">
        <v>1405</v>
      </c>
    </row>
    <row r="63" spans="1:5">
      <c r="A63" s="271">
        <v>45</v>
      </c>
      <c r="B63" s="465">
        <v>424</v>
      </c>
      <c r="C63" s="271">
        <v>436</v>
      </c>
      <c r="D63" s="465">
        <v>1459</v>
      </c>
      <c r="E63" s="271">
        <v>1429</v>
      </c>
    </row>
    <row r="64" spans="1:5">
      <c r="A64" s="271">
        <v>45.5</v>
      </c>
      <c r="B64" s="465">
        <v>430</v>
      </c>
      <c r="C64" s="271">
        <v>443</v>
      </c>
      <c r="D64" s="465">
        <v>1481</v>
      </c>
      <c r="E64" s="271">
        <v>1453</v>
      </c>
    </row>
    <row r="65" spans="1:5">
      <c r="A65" s="271">
        <v>46</v>
      </c>
      <c r="B65" s="465">
        <v>436</v>
      </c>
      <c r="C65" s="271">
        <v>449</v>
      </c>
      <c r="D65" s="465">
        <v>1503</v>
      </c>
      <c r="E65" s="271">
        <v>1479</v>
      </c>
    </row>
    <row r="66" spans="1:5">
      <c r="A66" s="271">
        <v>46.5</v>
      </c>
      <c r="B66" s="465">
        <v>442</v>
      </c>
      <c r="C66" s="271">
        <v>456</v>
      </c>
      <c r="D66" s="465">
        <v>1526</v>
      </c>
      <c r="E66" s="271">
        <v>1505</v>
      </c>
    </row>
    <row r="67" spans="1:5">
      <c r="A67" s="271">
        <v>47</v>
      </c>
      <c r="B67" s="465">
        <v>449</v>
      </c>
      <c r="C67" s="271">
        <v>463</v>
      </c>
      <c r="D67" s="465">
        <v>1550</v>
      </c>
      <c r="E67" s="271">
        <v>1533</v>
      </c>
    </row>
    <row r="68" spans="1:5">
      <c r="A68" s="271">
        <v>47.5</v>
      </c>
      <c r="B68" s="465">
        <v>455</v>
      </c>
      <c r="C68" s="271">
        <v>470</v>
      </c>
      <c r="D68" s="465">
        <v>1575</v>
      </c>
      <c r="E68" s="271">
        <v>1562</v>
      </c>
    </row>
    <row r="69" spans="1:5">
      <c r="A69" s="271">
        <v>48</v>
      </c>
      <c r="B69" s="465">
        <v>461</v>
      </c>
      <c r="C69" s="271">
        <v>478</v>
      </c>
      <c r="D69" s="465">
        <v>1600</v>
      </c>
      <c r="E69" s="271">
        <v>1592</v>
      </c>
    </row>
    <row r="70" spans="1:5">
      <c r="A70" s="271">
        <v>48.5</v>
      </c>
      <c r="B70" s="465">
        <v>468</v>
      </c>
      <c r="C70" s="271">
        <v>485</v>
      </c>
      <c r="D70" s="465">
        <v>1626</v>
      </c>
      <c r="E70" s="271">
        <v>1623</v>
      </c>
    </row>
    <row r="71" spans="1:5">
      <c r="A71" s="271">
        <v>49</v>
      </c>
      <c r="B71" s="465">
        <v>474</v>
      </c>
      <c r="C71" s="271">
        <v>493</v>
      </c>
      <c r="D71" s="465">
        <v>1653</v>
      </c>
      <c r="E71" s="271">
        <v>1655</v>
      </c>
    </row>
    <row r="72" spans="1:5">
      <c r="A72" s="271">
        <v>49.5</v>
      </c>
      <c r="B72" s="465">
        <v>481</v>
      </c>
      <c r="C72" s="271">
        <v>501</v>
      </c>
      <c r="D72" s="465">
        <v>1681</v>
      </c>
      <c r="E72" s="271">
        <v>1689</v>
      </c>
    </row>
    <row r="73" spans="1:5">
      <c r="A73" s="271">
        <v>50</v>
      </c>
      <c r="B73" s="465">
        <v>488</v>
      </c>
      <c r="C73" s="271">
        <v>509</v>
      </c>
      <c r="D73" s="465">
        <v>1710</v>
      </c>
      <c r="E73" s="271">
        <v>1725</v>
      </c>
    </row>
    <row r="74" spans="1:5">
      <c r="A74" s="271">
        <v>50.5</v>
      </c>
      <c r="B74" s="465">
        <v>494</v>
      </c>
      <c r="C74" s="271">
        <v>517</v>
      </c>
      <c r="D74" s="465"/>
      <c r="E74" s="271"/>
    </row>
    <row r="75" spans="1:5">
      <c r="A75" s="271">
        <v>51</v>
      </c>
      <c r="B75" s="465">
        <v>501</v>
      </c>
      <c r="C75" s="271">
        <v>525</v>
      </c>
      <c r="D75" s="465"/>
      <c r="E75" s="271"/>
    </row>
    <row r="76" spans="1:5">
      <c r="A76" s="271">
        <v>51.5</v>
      </c>
      <c r="B76" s="465"/>
      <c r="C76" s="271">
        <v>534</v>
      </c>
      <c r="D76" s="465"/>
      <c r="E76" s="271"/>
    </row>
    <row r="77" spans="1:5">
      <c r="A77" s="271">
        <v>52</v>
      </c>
      <c r="B77" s="465"/>
      <c r="C77" s="271">
        <v>543</v>
      </c>
      <c r="D77" s="465"/>
      <c r="E77" s="271"/>
    </row>
    <row r="78" spans="1:5">
      <c r="A78" s="271">
        <v>52.5</v>
      </c>
      <c r="B78" s="465"/>
      <c r="C78" s="271">
        <v>551</v>
      </c>
      <c r="D78" s="465"/>
      <c r="E78" s="271"/>
    </row>
    <row r="79" spans="1:5">
      <c r="A79" s="271">
        <v>53</v>
      </c>
      <c r="B79" s="465"/>
      <c r="C79" s="271">
        <v>561</v>
      </c>
      <c r="D79" s="465"/>
      <c r="E79" s="271"/>
    </row>
    <row r="80" spans="1:5">
      <c r="A80" s="271">
        <v>53.5</v>
      </c>
      <c r="B80" s="465"/>
      <c r="C80" s="271">
        <v>570</v>
      </c>
      <c r="D80" s="465"/>
      <c r="E80" s="271"/>
    </row>
    <row r="81" spans="1:5">
      <c r="A81" s="271">
        <v>54</v>
      </c>
      <c r="B81" s="465"/>
      <c r="C81" s="271">
        <v>579</v>
      </c>
      <c r="D81" s="465"/>
      <c r="E81" s="271"/>
    </row>
    <row r="82" spans="1:5">
      <c r="A82" s="271">
        <v>54.5</v>
      </c>
      <c r="B82" s="465"/>
      <c r="C82" s="271">
        <v>589</v>
      </c>
      <c r="D82" s="465"/>
      <c r="E82" s="271"/>
    </row>
    <row r="83" spans="1:5">
      <c r="A83" s="271">
        <v>55</v>
      </c>
      <c r="B83" s="465"/>
      <c r="C83" s="271">
        <v>599</v>
      </c>
      <c r="D83" s="465"/>
      <c r="E83" s="271"/>
    </row>
    <row r="84" spans="1:5">
      <c r="A84" s="271">
        <v>55.5</v>
      </c>
      <c r="B84" s="465"/>
      <c r="C84" s="271">
        <v>609</v>
      </c>
      <c r="D84" s="465"/>
      <c r="E84" s="271"/>
    </row>
    <row r="85" spans="1:5">
      <c r="A85" s="271">
        <v>56</v>
      </c>
      <c r="B85" s="465"/>
      <c r="C85" s="271">
        <v>620</v>
      </c>
      <c r="D85" s="465"/>
      <c r="E85" s="271"/>
    </row>
    <row r="86" spans="1:5">
      <c r="A86" s="271">
        <v>56.5</v>
      </c>
      <c r="B86" s="465"/>
      <c r="C86" s="271">
        <v>631</v>
      </c>
      <c r="D86" s="465"/>
      <c r="E86" s="271"/>
    </row>
    <row r="87" spans="1:5">
      <c r="A87" s="271">
        <v>57</v>
      </c>
      <c r="B87" s="465"/>
      <c r="C87" s="271">
        <v>642</v>
      </c>
      <c r="D87" s="465"/>
      <c r="E87" s="271"/>
    </row>
    <row r="88" spans="1:5">
      <c r="A88" s="271">
        <v>57.5</v>
      </c>
      <c r="B88" s="465"/>
      <c r="C88" s="271">
        <v>653</v>
      </c>
      <c r="D88" s="465"/>
      <c r="E88" s="271"/>
    </row>
    <row r="89" spans="1:5">
      <c r="A89" s="271">
        <v>58</v>
      </c>
      <c r="B89" s="465"/>
      <c r="C89" s="271">
        <v>664</v>
      </c>
      <c r="D89" s="465"/>
      <c r="E89" s="271"/>
    </row>
    <row r="90" spans="1:5">
      <c r="A90" s="271">
        <v>58.5</v>
      </c>
      <c r="B90" s="465"/>
      <c r="C90" s="271">
        <v>676</v>
      </c>
      <c r="D90" s="465"/>
      <c r="E90" s="271"/>
    </row>
    <row r="91" spans="1:5">
      <c r="A91" s="271">
        <v>59</v>
      </c>
      <c r="B91" s="465"/>
      <c r="C91" s="271">
        <v>688</v>
      </c>
      <c r="D91" s="465"/>
      <c r="E91" s="271"/>
    </row>
    <row r="92" spans="1:5">
      <c r="A92" s="271">
        <v>59.5</v>
      </c>
      <c r="B92" s="465"/>
      <c r="C92" s="271">
        <v>700</v>
      </c>
      <c r="D92" s="465"/>
      <c r="E92" s="271"/>
    </row>
    <row r="93" spans="1:5">
      <c r="A93" s="271">
        <v>60</v>
      </c>
      <c r="B93" s="465"/>
      <c r="C93" s="271">
        <v>713</v>
      </c>
      <c r="D93" s="465"/>
      <c r="E93" s="271"/>
    </row>
    <row r="94" spans="1:5">
      <c r="A94" s="271">
        <v>60.5</v>
      </c>
      <c r="B94" s="465"/>
      <c r="C94" s="271">
        <v>726</v>
      </c>
      <c r="D94" s="465"/>
      <c r="E94" s="271"/>
    </row>
    <row r="95" spans="1:5">
      <c r="A95" s="271">
        <v>61</v>
      </c>
      <c r="B95" s="465"/>
      <c r="C95" s="271">
        <v>739</v>
      </c>
      <c r="D95" s="465"/>
      <c r="E95" s="271"/>
    </row>
    <row r="96" spans="1:5">
      <c r="A96" s="271">
        <v>61.5</v>
      </c>
      <c r="B96" s="465"/>
      <c r="C96" s="271">
        <v>752</v>
      </c>
      <c r="D96" s="465"/>
      <c r="E96" s="271"/>
    </row>
    <row r="97" spans="1:5">
      <c r="A97" s="271">
        <v>62</v>
      </c>
      <c r="B97" s="465"/>
      <c r="C97" s="271">
        <v>766</v>
      </c>
      <c r="D97" s="465"/>
      <c r="E97" s="271"/>
    </row>
    <row r="98" spans="1:5">
      <c r="A98" s="271">
        <v>62.5</v>
      </c>
      <c r="B98" s="465"/>
      <c r="C98" s="271">
        <v>780</v>
      </c>
      <c r="D98" s="465"/>
      <c r="E98" s="271"/>
    </row>
    <row r="99" spans="1:5">
      <c r="A99" s="271">
        <v>63</v>
      </c>
      <c r="B99" s="465"/>
      <c r="C99" s="271">
        <v>795</v>
      </c>
      <c r="D99" s="465"/>
      <c r="E99" s="271"/>
    </row>
    <row r="100" spans="1:5">
      <c r="A100" s="271">
        <v>63.5</v>
      </c>
      <c r="B100" s="465"/>
      <c r="C100" s="271">
        <v>810</v>
      </c>
      <c r="D100" s="465"/>
      <c r="E100" s="271"/>
    </row>
    <row r="101" spans="1:5">
      <c r="A101" s="271">
        <v>64</v>
      </c>
      <c r="B101" s="465"/>
      <c r="C101" s="271">
        <v>825</v>
      </c>
      <c r="D101" s="465"/>
      <c r="E101" s="271"/>
    </row>
    <row r="102" spans="1:5">
      <c r="A102" s="271">
        <v>64.5</v>
      </c>
      <c r="B102" s="465"/>
      <c r="C102" s="271">
        <v>840</v>
      </c>
      <c r="D102" s="465"/>
      <c r="E102" s="271"/>
    </row>
    <row r="103" spans="1:5">
      <c r="A103" s="271">
        <v>65</v>
      </c>
      <c r="B103" s="465"/>
      <c r="C103" s="271">
        <v>856</v>
      </c>
      <c r="D103" s="465"/>
      <c r="E103" s="271"/>
    </row>
    <row r="104" spans="1:5">
      <c r="A104" s="271">
        <v>65.5</v>
      </c>
      <c r="B104" s="465"/>
      <c r="C104" s="271">
        <v>872</v>
      </c>
      <c r="D104" s="465"/>
      <c r="E104" s="271"/>
    </row>
    <row r="105" spans="1:5">
      <c r="A105" s="271">
        <v>66</v>
      </c>
      <c r="B105" s="465"/>
      <c r="C105" s="271">
        <v>889</v>
      </c>
      <c r="D105" s="465"/>
      <c r="E105" s="271"/>
    </row>
    <row r="106" spans="1:5">
      <c r="A106" s="271">
        <v>66.5</v>
      </c>
      <c r="B106" s="465"/>
      <c r="C106" s="271">
        <v>906</v>
      </c>
      <c r="D106" s="465"/>
      <c r="E106" s="271"/>
    </row>
    <row r="107" spans="1:5">
      <c r="A107" s="271">
        <v>67</v>
      </c>
      <c r="B107" s="465"/>
      <c r="C107" s="271">
        <v>923</v>
      </c>
      <c r="D107" s="465"/>
      <c r="E107" s="271"/>
    </row>
    <row r="108" spans="1:5">
      <c r="A108" s="271">
        <v>67.5</v>
      </c>
      <c r="B108" s="465"/>
      <c r="C108" s="271">
        <v>941</v>
      </c>
      <c r="D108" s="465"/>
      <c r="E108" s="271"/>
    </row>
    <row r="109" spans="1:5">
      <c r="A109" s="271">
        <v>68</v>
      </c>
      <c r="B109" s="465"/>
      <c r="C109" s="271">
        <v>959</v>
      </c>
      <c r="D109" s="465"/>
      <c r="E109" s="271"/>
    </row>
    <row r="110" spans="1:5">
      <c r="A110" s="271">
        <v>68.5</v>
      </c>
      <c r="B110" s="465"/>
      <c r="C110" s="271">
        <v>978</v>
      </c>
      <c r="D110" s="465"/>
      <c r="E110" s="271"/>
    </row>
    <row r="111" spans="1:5">
      <c r="A111" s="271">
        <v>69</v>
      </c>
      <c r="B111" s="465"/>
      <c r="C111" s="271">
        <v>997</v>
      </c>
      <c r="D111" s="465"/>
      <c r="E111" s="271"/>
    </row>
    <row r="112" spans="1:5">
      <c r="A112" s="271">
        <v>69.5</v>
      </c>
      <c r="B112" s="465"/>
      <c r="C112" s="271">
        <v>1017</v>
      </c>
      <c r="D112" s="465"/>
      <c r="E112" s="271"/>
    </row>
    <row r="113" spans="1:5">
      <c r="A113" s="271">
        <v>70</v>
      </c>
      <c r="B113" s="465"/>
      <c r="C113" s="271">
        <v>1037</v>
      </c>
      <c r="D113" s="465"/>
      <c r="E113" s="271"/>
    </row>
  </sheetData>
  <sheetProtection password="828E" sheet="1" objects="1" scenarios="1"/>
  <mergeCells count="2">
    <mergeCell ref="A2:A3"/>
    <mergeCell ref="A1:F1"/>
  </mergeCells>
  <phoneticPr fontId="4" type="noConversion"/>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sheetPr codeName="Sheet32"/>
  <dimension ref="A1:K86"/>
  <sheetViews>
    <sheetView workbookViewId="0">
      <selection activeCell="O9" sqref="O9"/>
    </sheetView>
  </sheetViews>
  <sheetFormatPr defaultRowHeight="14.25"/>
  <cols>
    <col min="1" max="1" width="6.625" customWidth="1"/>
    <col min="2" max="3" width="7.375" customWidth="1"/>
    <col min="5" max="5" width="10.125" customWidth="1"/>
  </cols>
  <sheetData>
    <row r="1" spans="1:6" ht="21.95" customHeight="1">
      <c r="A1" s="1384" t="s">
        <v>1409</v>
      </c>
      <c r="B1" s="1385"/>
      <c r="C1" s="1385"/>
      <c r="D1" s="1385"/>
      <c r="E1" s="1385"/>
      <c r="F1" s="1385"/>
    </row>
    <row r="2" spans="1:6" ht="14.25" customHeight="1">
      <c r="A2" s="115" t="s">
        <v>1405</v>
      </c>
      <c r="B2" s="115"/>
    </row>
    <row r="3" spans="1:6" ht="22.5" customHeight="1"/>
    <row r="27" spans="1:1">
      <c r="A27" s="115" t="s">
        <v>1406</v>
      </c>
    </row>
    <row r="40" spans="11:11">
      <c r="K40" t="s">
        <v>1410</v>
      </c>
    </row>
    <row r="53" spans="1:1">
      <c r="A53" s="115" t="s">
        <v>1407</v>
      </c>
    </row>
    <row r="86" spans="1:1">
      <c r="A86" t="s">
        <v>1408</v>
      </c>
    </row>
  </sheetData>
  <mergeCells count="1">
    <mergeCell ref="A1:F1"/>
  </mergeCells>
  <phoneticPr fontId="4" type="noConversion"/>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sheetPr codeName="Sheet33"/>
  <dimension ref="A1:F185"/>
  <sheetViews>
    <sheetView workbookViewId="0">
      <selection activeCell="C5" sqref="C5"/>
    </sheetView>
  </sheetViews>
  <sheetFormatPr defaultRowHeight="14.25"/>
  <cols>
    <col min="1" max="1" width="18.875" style="261" customWidth="1"/>
    <col min="2" max="2" width="11.875" style="261" customWidth="1"/>
    <col min="3" max="3" width="16.125" style="261" customWidth="1"/>
    <col min="4" max="4" width="13.625" style="261" customWidth="1"/>
    <col min="5" max="16384" width="9" style="261"/>
  </cols>
  <sheetData>
    <row r="1" spans="1:6" ht="21.95" customHeight="1">
      <c r="A1" s="1389" t="s">
        <v>2774</v>
      </c>
      <c r="B1" s="1389"/>
      <c r="C1" s="1389"/>
      <c r="D1" s="1389"/>
      <c r="E1" s="467"/>
      <c r="F1" s="468"/>
    </row>
    <row r="2" spans="1:6" ht="17.25">
      <c r="A2" s="469" t="s">
        <v>1431</v>
      </c>
      <c r="B2" s="469" t="s">
        <v>1432</v>
      </c>
      <c r="C2" s="469" t="s">
        <v>1433</v>
      </c>
      <c r="D2" s="469" t="s">
        <v>1434</v>
      </c>
      <c r="E2" s="468"/>
      <c r="F2" s="468"/>
    </row>
    <row r="3" spans="1:6" ht="18">
      <c r="A3" s="470" t="s">
        <v>1435</v>
      </c>
      <c r="B3" s="471" t="s">
        <v>1436</v>
      </c>
      <c r="C3" s="197">
        <v>8.9342299999999999E-2</v>
      </c>
      <c r="D3" s="472" t="s">
        <v>1437</v>
      </c>
      <c r="E3" s="468"/>
      <c r="F3" s="473"/>
    </row>
    <row r="4" spans="1:6" ht="18">
      <c r="A4" s="470" t="s">
        <v>1438</v>
      </c>
      <c r="B4" s="471" t="s">
        <v>1439</v>
      </c>
      <c r="C4" s="474">
        <v>35.000000271622511</v>
      </c>
      <c r="D4" s="472"/>
      <c r="E4" s="473"/>
      <c r="F4" s="468"/>
    </row>
    <row r="5" spans="1:6" ht="17.25">
      <c r="A5" s="1387" t="s">
        <v>1440</v>
      </c>
      <c r="B5" s="471" t="s">
        <v>1441</v>
      </c>
      <c r="C5" s="198">
        <v>35.000000270000001</v>
      </c>
      <c r="D5" s="1388" t="s">
        <v>1442</v>
      </c>
      <c r="E5" s="468"/>
      <c r="F5" s="468"/>
    </row>
    <row r="6" spans="1:6" ht="18">
      <c r="A6" s="1387"/>
      <c r="B6" s="471" t="s">
        <v>1443</v>
      </c>
      <c r="C6" s="475">
        <v>8.934230232213447E-2</v>
      </c>
      <c r="D6" s="1388"/>
      <c r="E6" s="468"/>
      <c r="F6" s="468"/>
    </row>
    <row r="7" spans="1:6" ht="18">
      <c r="A7" s="1387"/>
      <c r="B7" s="471" t="s">
        <v>1444</v>
      </c>
      <c r="C7" s="476">
        <v>2.3221344708224123E-9</v>
      </c>
      <c r="D7" s="1388"/>
      <c r="E7" s="468"/>
      <c r="F7" s="468"/>
    </row>
    <row r="8" spans="1:6" ht="14.25" customHeight="1">
      <c r="A8" s="1386" t="s">
        <v>1736</v>
      </c>
      <c r="B8" s="1386"/>
      <c r="C8" s="1386"/>
      <c r="D8" s="1386"/>
      <c r="E8" s="468"/>
      <c r="F8" s="468"/>
    </row>
    <row r="9" spans="1:6" ht="14.25" customHeight="1">
      <c r="A9" s="1386"/>
      <c r="B9" s="1386"/>
      <c r="C9" s="1386"/>
      <c r="D9" s="1386"/>
      <c r="E9" s="468"/>
      <c r="F9" s="468"/>
    </row>
    <row r="10" spans="1:6" ht="14.25" customHeight="1">
      <c r="A10" s="1386"/>
      <c r="B10" s="1386"/>
      <c r="C10" s="1386"/>
      <c r="D10" s="1386"/>
      <c r="E10" s="468"/>
      <c r="F10" s="468"/>
    </row>
    <row r="11" spans="1:6" ht="14.25" customHeight="1">
      <c r="A11" s="1386"/>
      <c r="B11" s="1386"/>
      <c r="C11" s="1386"/>
      <c r="D11" s="1386"/>
      <c r="E11" s="468"/>
      <c r="F11" s="468"/>
    </row>
    <row r="12" spans="1:6" ht="14.25" customHeight="1">
      <c r="A12" s="1386"/>
      <c r="B12" s="1386"/>
      <c r="C12" s="1386"/>
      <c r="D12" s="1386"/>
      <c r="E12" s="468"/>
      <c r="F12" s="468"/>
    </row>
    <row r="13" spans="1:6" ht="14.25" customHeight="1">
      <c r="A13" s="1386"/>
      <c r="B13" s="1386"/>
      <c r="C13" s="1386"/>
      <c r="D13" s="1386"/>
      <c r="E13" s="468"/>
      <c r="F13" s="468"/>
    </row>
    <row r="14" spans="1:6" ht="14.25" customHeight="1">
      <c r="A14" s="1386"/>
      <c r="B14" s="1386"/>
      <c r="C14" s="1386"/>
      <c r="D14" s="1386"/>
      <c r="E14" s="468"/>
      <c r="F14" s="468"/>
    </row>
    <row r="15" spans="1:6" ht="14.25" customHeight="1">
      <c r="A15" s="1386"/>
      <c r="B15" s="1386"/>
      <c r="C15" s="1386"/>
      <c r="D15" s="1386"/>
      <c r="E15" s="468"/>
      <c r="F15" s="468"/>
    </row>
    <row r="16" spans="1:6" ht="14.25" customHeight="1">
      <c r="A16" s="1386"/>
      <c r="B16" s="1386"/>
      <c r="C16" s="1386"/>
      <c r="D16" s="1386"/>
      <c r="E16" s="468"/>
      <c r="F16" s="468"/>
    </row>
    <row r="17" spans="1:4" ht="14.25" customHeight="1">
      <c r="A17" s="1386"/>
      <c r="B17" s="1386"/>
      <c r="C17" s="1386"/>
      <c r="D17" s="1386"/>
    </row>
    <row r="18" spans="1:4" ht="14.25" customHeight="1">
      <c r="A18" s="1386" t="s">
        <v>1446</v>
      </c>
      <c r="B18" s="1386"/>
      <c r="C18" s="1386"/>
      <c r="D18" s="1386"/>
    </row>
    <row r="19" spans="1:4" ht="14.25" customHeight="1">
      <c r="A19" s="1386"/>
      <c r="B19" s="1386"/>
      <c r="C19" s="1386"/>
      <c r="D19" s="1386"/>
    </row>
    <row r="20" spans="1:4" ht="14.25" customHeight="1">
      <c r="A20" s="1386"/>
      <c r="B20" s="1386"/>
      <c r="C20" s="1386"/>
      <c r="D20" s="1386"/>
    </row>
    <row r="21" spans="1:4" ht="14.25" customHeight="1">
      <c r="A21" s="1386"/>
      <c r="B21" s="1386"/>
      <c r="C21" s="1386"/>
      <c r="D21" s="1386"/>
    </row>
    <row r="22" spans="1:4" ht="14.25" customHeight="1">
      <c r="A22" s="1386"/>
      <c r="B22" s="1386"/>
      <c r="C22" s="1386"/>
      <c r="D22" s="1386"/>
    </row>
    <row r="23" spans="1:4" ht="14.25" customHeight="1">
      <c r="A23" s="477"/>
      <c r="B23" s="478"/>
      <c r="C23" s="478"/>
      <c r="D23" s="478"/>
    </row>
    <row r="24" spans="1:4" ht="14.25" customHeight="1">
      <c r="A24" s="477"/>
      <c r="B24" s="478"/>
      <c r="C24" s="478"/>
      <c r="D24" s="478"/>
    </row>
    <row r="25" spans="1:4" ht="14.25" customHeight="1">
      <c r="A25" s="477"/>
      <c r="B25" s="478"/>
      <c r="C25" s="478"/>
      <c r="D25" s="478"/>
    </row>
    <row r="28" spans="1:4" ht="16.5">
      <c r="A28" s="468"/>
      <c r="B28" s="479"/>
      <c r="C28" s="468"/>
    </row>
    <row r="29" spans="1:4" ht="16.5">
      <c r="A29" s="468"/>
      <c r="B29" s="479"/>
      <c r="C29" s="468"/>
    </row>
    <row r="30" spans="1:4" ht="16.5">
      <c r="A30" s="468"/>
      <c r="B30" s="479"/>
      <c r="C30" s="468"/>
    </row>
    <row r="31" spans="1:4" ht="16.5">
      <c r="A31" s="468" t="s">
        <v>1445</v>
      </c>
      <c r="B31" s="479"/>
      <c r="C31" s="468"/>
    </row>
    <row r="32" spans="1:4" ht="16.5">
      <c r="A32" s="468"/>
      <c r="B32" s="479"/>
      <c r="C32" s="468"/>
    </row>
    <row r="33" spans="2:2" ht="16.5">
      <c r="B33" s="479"/>
    </row>
    <row r="34" spans="2:2" ht="16.5">
      <c r="B34" s="479"/>
    </row>
    <row r="35" spans="2:2" ht="16.5">
      <c r="B35" s="479"/>
    </row>
    <row r="36" spans="2:2" ht="16.5">
      <c r="B36" s="479"/>
    </row>
    <row r="37" spans="2:2" ht="16.5">
      <c r="B37" s="479"/>
    </row>
    <row r="38" spans="2:2" ht="16.5">
      <c r="B38" s="479"/>
    </row>
    <row r="39" spans="2:2" ht="16.5">
      <c r="B39" s="479"/>
    </row>
    <row r="40" spans="2:2" ht="16.5">
      <c r="B40" s="479"/>
    </row>
    <row r="41" spans="2:2" ht="16.5">
      <c r="B41" s="479"/>
    </row>
    <row r="42" spans="2:2" ht="16.5">
      <c r="B42" s="479"/>
    </row>
    <row r="43" spans="2:2" ht="16.5">
      <c r="B43" s="479"/>
    </row>
    <row r="44" spans="2:2" ht="16.5">
      <c r="B44" s="479"/>
    </row>
    <row r="45" spans="2:2" ht="16.5">
      <c r="B45" s="479"/>
    </row>
    <row r="46" spans="2:2" ht="16.5">
      <c r="B46" s="479"/>
    </row>
    <row r="47" spans="2:2" ht="16.5">
      <c r="B47" s="479"/>
    </row>
    <row r="48" spans="2:2" ht="16.5">
      <c r="B48" s="479"/>
    </row>
    <row r="49" spans="2:2" ht="16.5">
      <c r="B49" s="479"/>
    </row>
    <row r="50" spans="2:2" ht="16.5">
      <c r="B50" s="479"/>
    </row>
    <row r="51" spans="2:2" ht="16.5">
      <c r="B51" s="479"/>
    </row>
    <row r="52" spans="2:2" ht="16.5">
      <c r="B52" s="479"/>
    </row>
    <row r="53" spans="2:2" ht="16.5">
      <c r="B53" s="479"/>
    </row>
    <row r="54" spans="2:2" ht="16.5">
      <c r="B54" s="479"/>
    </row>
    <row r="55" spans="2:2" ht="16.5">
      <c r="B55" s="479"/>
    </row>
    <row r="56" spans="2:2" ht="16.5">
      <c r="B56" s="479"/>
    </row>
    <row r="57" spans="2:2" ht="16.5">
      <c r="B57" s="479"/>
    </row>
    <row r="58" spans="2:2" ht="16.5">
      <c r="B58" s="479"/>
    </row>
    <row r="59" spans="2:2" ht="16.5">
      <c r="B59" s="479"/>
    </row>
    <row r="60" spans="2:2" ht="16.5">
      <c r="B60" s="479"/>
    </row>
    <row r="61" spans="2:2" ht="16.5">
      <c r="B61" s="479"/>
    </row>
    <row r="62" spans="2:2" ht="16.5">
      <c r="B62" s="479"/>
    </row>
    <row r="63" spans="2:2" ht="16.5">
      <c r="B63" s="479"/>
    </row>
    <row r="64" spans="2:2" ht="16.5">
      <c r="B64" s="479"/>
    </row>
    <row r="65" spans="2:2" ht="16.5">
      <c r="B65" s="479"/>
    </row>
    <row r="66" spans="2:2" ht="16.5">
      <c r="B66" s="479"/>
    </row>
    <row r="67" spans="2:2" ht="16.5">
      <c r="B67" s="479"/>
    </row>
    <row r="68" spans="2:2" ht="16.5">
      <c r="B68" s="479"/>
    </row>
    <row r="69" spans="2:2" ht="16.5">
      <c r="B69" s="479"/>
    </row>
    <row r="70" spans="2:2" ht="16.5">
      <c r="B70" s="479"/>
    </row>
    <row r="71" spans="2:2" ht="16.5">
      <c r="B71" s="479"/>
    </row>
    <row r="72" spans="2:2" ht="16.5">
      <c r="B72" s="479"/>
    </row>
    <row r="73" spans="2:2" ht="16.5">
      <c r="B73" s="479"/>
    </row>
    <row r="74" spans="2:2" ht="16.5">
      <c r="B74" s="479"/>
    </row>
    <row r="75" spans="2:2" ht="16.5">
      <c r="B75" s="479"/>
    </row>
    <row r="76" spans="2:2" ht="16.5">
      <c r="B76" s="479"/>
    </row>
    <row r="77" spans="2:2" ht="16.5">
      <c r="B77" s="479"/>
    </row>
    <row r="78" spans="2:2" ht="16.5">
      <c r="B78" s="479"/>
    </row>
    <row r="79" spans="2:2" ht="16.5">
      <c r="B79" s="479"/>
    </row>
    <row r="80" spans="2:2" ht="16.5">
      <c r="B80" s="479"/>
    </row>
    <row r="81" spans="2:2" ht="16.5">
      <c r="B81" s="479"/>
    </row>
    <row r="82" spans="2:2" ht="16.5">
      <c r="B82" s="479"/>
    </row>
    <row r="83" spans="2:2" ht="16.5">
      <c r="B83" s="479"/>
    </row>
    <row r="84" spans="2:2" ht="16.5">
      <c r="B84" s="479"/>
    </row>
    <row r="85" spans="2:2" ht="16.5">
      <c r="B85" s="479"/>
    </row>
    <row r="86" spans="2:2" ht="16.5">
      <c r="B86" s="479"/>
    </row>
    <row r="87" spans="2:2" ht="16.5">
      <c r="B87" s="479"/>
    </row>
    <row r="88" spans="2:2" ht="16.5">
      <c r="B88" s="479"/>
    </row>
    <row r="89" spans="2:2" ht="16.5">
      <c r="B89" s="479"/>
    </row>
    <row r="90" spans="2:2" ht="16.5">
      <c r="B90" s="479"/>
    </row>
    <row r="91" spans="2:2" ht="16.5">
      <c r="B91" s="479"/>
    </row>
    <row r="92" spans="2:2" ht="16.5">
      <c r="B92" s="479"/>
    </row>
    <row r="93" spans="2:2" ht="16.5">
      <c r="B93" s="479"/>
    </row>
    <row r="94" spans="2:2" ht="16.5">
      <c r="B94" s="479"/>
    </row>
    <row r="95" spans="2:2" ht="16.5">
      <c r="B95" s="479"/>
    </row>
    <row r="96" spans="2:2" ht="16.5">
      <c r="B96" s="479"/>
    </row>
    <row r="97" spans="2:2" ht="16.5">
      <c r="B97" s="479"/>
    </row>
    <row r="98" spans="2:2" ht="16.5">
      <c r="B98" s="479"/>
    </row>
    <row r="99" spans="2:2" ht="16.5">
      <c r="B99" s="479"/>
    </row>
    <row r="100" spans="2:2" ht="16.5">
      <c r="B100" s="479"/>
    </row>
    <row r="101" spans="2:2" ht="16.5">
      <c r="B101" s="479"/>
    </row>
    <row r="102" spans="2:2" ht="16.5">
      <c r="B102" s="479"/>
    </row>
    <row r="103" spans="2:2" ht="16.5">
      <c r="B103" s="479"/>
    </row>
    <row r="104" spans="2:2" ht="16.5">
      <c r="B104" s="479"/>
    </row>
    <row r="105" spans="2:2" ht="16.5">
      <c r="B105" s="479"/>
    </row>
    <row r="106" spans="2:2" ht="16.5">
      <c r="B106" s="479"/>
    </row>
    <row r="107" spans="2:2" ht="16.5">
      <c r="B107" s="479"/>
    </row>
    <row r="108" spans="2:2" ht="16.5">
      <c r="B108" s="479"/>
    </row>
    <row r="109" spans="2:2" ht="16.5">
      <c r="B109" s="479"/>
    </row>
    <row r="110" spans="2:2" ht="16.5">
      <c r="B110" s="479"/>
    </row>
    <row r="111" spans="2:2" ht="16.5">
      <c r="B111" s="479"/>
    </row>
    <row r="112" spans="2:2" ht="16.5">
      <c r="B112" s="479"/>
    </row>
    <row r="113" spans="2:2" ht="16.5">
      <c r="B113" s="479"/>
    </row>
    <row r="114" spans="2:2" ht="16.5">
      <c r="B114" s="479"/>
    </row>
    <row r="115" spans="2:2" ht="16.5">
      <c r="B115" s="479"/>
    </row>
    <row r="116" spans="2:2" ht="16.5">
      <c r="B116" s="479"/>
    </row>
    <row r="117" spans="2:2" ht="16.5">
      <c r="B117" s="479"/>
    </row>
    <row r="118" spans="2:2" ht="16.5">
      <c r="B118" s="479"/>
    </row>
    <row r="119" spans="2:2" ht="16.5">
      <c r="B119" s="479"/>
    </row>
    <row r="120" spans="2:2" ht="16.5">
      <c r="B120" s="479"/>
    </row>
    <row r="121" spans="2:2" ht="16.5">
      <c r="B121" s="479"/>
    </row>
    <row r="122" spans="2:2" ht="16.5">
      <c r="B122" s="479"/>
    </row>
    <row r="123" spans="2:2" ht="16.5">
      <c r="B123" s="479"/>
    </row>
    <row r="124" spans="2:2" ht="16.5">
      <c r="B124" s="479"/>
    </row>
    <row r="125" spans="2:2" ht="16.5">
      <c r="B125" s="479"/>
    </row>
    <row r="126" spans="2:2" ht="16.5">
      <c r="B126" s="479"/>
    </row>
    <row r="127" spans="2:2" ht="16.5">
      <c r="B127" s="479"/>
    </row>
    <row r="128" spans="2:2" ht="16.5">
      <c r="B128" s="479"/>
    </row>
    <row r="129" spans="2:2" ht="16.5">
      <c r="B129" s="479"/>
    </row>
    <row r="130" spans="2:2" ht="16.5">
      <c r="B130" s="479"/>
    </row>
    <row r="131" spans="2:2" ht="16.5">
      <c r="B131" s="479"/>
    </row>
    <row r="132" spans="2:2" ht="16.5">
      <c r="B132" s="479"/>
    </row>
    <row r="133" spans="2:2" ht="16.5">
      <c r="B133" s="479"/>
    </row>
    <row r="134" spans="2:2" ht="16.5">
      <c r="B134" s="479"/>
    </row>
    <row r="135" spans="2:2" ht="16.5">
      <c r="B135" s="479"/>
    </row>
    <row r="136" spans="2:2" ht="16.5">
      <c r="B136" s="479"/>
    </row>
    <row r="137" spans="2:2" ht="16.5">
      <c r="B137" s="479"/>
    </row>
    <row r="138" spans="2:2" ht="16.5">
      <c r="B138" s="479"/>
    </row>
    <row r="139" spans="2:2" ht="16.5">
      <c r="B139" s="479"/>
    </row>
    <row r="140" spans="2:2" ht="16.5">
      <c r="B140" s="479"/>
    </row>
    <row r="141" spans="2:2" ht="16.5">
      <c r="B141" s="479"/>
    </row>
    <row r="142" spans="2:2" ht="16.5">
      <c r="B142" s="479"/>
    </row>
    <row r="143" spans="2:2" ht="16.5">
      <c r="B143" s="479"/>
    </row>
    <row r="144" spans="2:2" ht="16.5">
      <c r="B144" s="479"/>
    </row>
    <row r="145" spans="2:2" ht="16.5">
      <c r="B145" s="479"/>
    </row>
    <row r="146" spans="2:2" ht="16.5">
      <c r="B146" s="479"/>
    </row>
    <row r="147" spans="2:2" ht="16.5">
      <c r="B147" s="479"/>
    </row>
    <row r="148" spans="2:2" ht="16.5">
      <c r="B148" s="479"/>
    </row>
    <row r="149" spans="2:2" ht="16.5">
      <c r="B149" s="479"/>
    </row>
    <row r="150" spans="2:2" ht="16.5">
      <c r="B150" s="479"/>
    </row>
    <row r="151" spans="2:2" ht="16.5">
      <c r="B151" s="479"/>
    </row>
    <row r="152" spans="2:2" ht="16.5">
      <c r="B152" s="479"/>
    </row>
    <row r="153" spans="2:2" ht="16.5">
      <c r="B153" s="479"/>
    </row>
    <row r="154" spans="2:2" ht="16.5">
      <c r="B154" s="479"/>
    </row>
    <row r="155" spans="2:2" ht="16.5">
      <c r="B155" s="479"/>
    </row>
    <row r="156" spans="2:2" ht="16.5">
      <c r="B156" s="479"/>
    </row>
    <row r="157" spans="2:2" ht="16.5">
      <c r="B157" s="479"/>
    </row>
    <row r="158" spans="2:2" ht="16.5">
      <c r="B158" s="479"/>
    </row>
    <row r="159" spans="2:2" ht="16.5">
      <c r="B159" s="479"/>
    </row>
    <row r="160" spans="2:2" ht="16.5">
      <c r="B160" s="479"/>
    </row>
    <row r="161" spans="2:2" ht="16.5">
      <c r="B161" s="479"/>
    </row>
    <row r="162" spans="2:2" ht="16.5">
      <c r="B162" s="479"/>
    </row>
    <row r="163" spans="2:2" ht="16.5">
      <c r="B163" s="479"/>
    </row>
    <row r="164" spans="2:2" ht="16.5">
      <c r="B164" s="479"/>
    </row>
    <row r="165" spans="2:2" ht="16.5">
      <c r="B165" s="479"/>
    </row>
    <row r="166" spans="2:2" ht="16.5">
      <c r="B166" s="479"/>
    </row>
    <row r="167" spans="2:2" ht="16.5">
      <c r="B167" s="479"/>
    </row>
    <row r="168" spans="2:2" ht="16.5">
      <c r="B168" s="479"/>
    </row>
    <row r="169" spans="2:2" ht="16.5">
      <c r="B169" s="479"/>
    </row>
    <row r="170" spans="2:2" ht="16.5">
      <c r="B170" s="479"/>
    </row>
    <row r="171" spans="2:2" ht="16.5">
      <c r="B171" s="479"/>
    </row>
    <row r="172" spans="2:2" ht="16.5">
      <c r="B172" s="479"/>
    </row>
    <row r="173" spans="2:2" ht="16.5">
      <c r="B173" s="479"/>
    </row>
    <row r="174" spans="2:2" ht="16.5">
      <c r="B174" s="479"/>
    </row>
    <row r="175" spans="2:2" ht="16.5">
      <c r="B175" s="479"/>
    </row>
    <row r="176" spans="2:2" ht="16.5">
      <c r="B176" s="479"/>
    </row>
    <row r="177" spans="2:2" ht="16.5">
      <c r="B177" s="479"/>
    </row>
    <row r="178" spans="2:2" ht="16.5">
      <c r="B178" s="479"/>
    </row>
    <row r="179" spans="2:2" ht="16.5">
      <c r="B179" s="479"/>
    </row>
    <row r="180" spans="2:2" ht="16.5">
      <c r="B180" s="479"/>
    </row>
    <row r="181" spans="2:2" ht="16.5">
      <c r="B181" s="479"/>
    </row>
    <row r="182" spans="2:2" ht="16.5">
      <c r="B182" s="479"/>
    </row>
    <row r="183" spans="2:2" ht="16.5">
      <c r="B183" s="479"/>
    </row>
    <row r="184" spans="2:2" ht="16.5">
      <c r="B184" s="479"/>
    </row>
    <row r="185" spans="2:2" ht="16.5">
      <c r="B185" s="479"/>
    </row>
  </sheetData>
  <sheetProtection password="828E" sheet="1" objects="1" scenarios="1"/>
  <mergeCells count="5">
    <mergeCell ref="A18:D22"/>
    <mergeCell ref="A5:A7"/>
    <mergeCell ref="D5:D7"/>
    <mergeCell ref="A1:D1"/>
    <mergeCell ref="A8:D17"/>
  </mergeCells>
  <phoneticPr fontId="4" type="noConversion"/>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sheetPr codeName="Sheet34"/>
  <dimension ref="A1:M41"/>
  <sheetViews>
    <sheetView workbookViewId="0">
      <selection activeCell="N6" sqref="N6"/>
    </sheetView>
  </sheetViews>
  <sheetFormatPr defaultRowHeight="14.25"/>
  <cols>
    <col min="1" max="1" width="20" style="343" customWidth="1"/>
    <col min="2" max="2" width="12.75" style="343" customWidth="1"/>
    <col min="3" max="3" width="15.125" style="343" customWidth="1"/>
    <col min="4" max="8" width="6.625" style="343" customWidth="1"/>
    <col min="9" max="9" width="9.25" style="343" customWidth="1"/>
    <col min="10" max="10" width="12" style="343" customWidth="1"/>
    <col min="11" max="11" width="9.375" style="343" customWidth="1"/>
    <col min="12" max="16384" width="9" style="343"/>
  </cols>
  <sheetData>
    <row r="1" spans="1:13" ht="21.95" customHeight="1">
      <c r="A1" s="1395" t="s">
        <v>2775</v>
      </c>
      <c r="B1" s="1395"/>
      <c r="C1" s="1395"/>
      <c r="D1" s="1403" t="s">
        <v>1873</v>
      </c>
      <c r="E1" s="1403"/>
      <c r="F1" s="1403"/>
      <c r="G1" s="1403"/>
      <c r="H1" s="1073" t="s">
        <v>1848</v>
      </c>
      <c r="I1" s="1073" t="s">
        <v>1872</v>
      </c>
      <c r="J1" s="1403" t="s">
        <v>1827</v>
      </c>
    </row>
    <row r="2" spans="1:13" ht="18" customHeight="1">
      <c r="A2" s="668" t="s">
        <v>1891</v>
      </c>
      <c r="B2" s="668" t="s">
        <v>1895</v>
      </c>
      <c r="C2" s="589" t="s">
        <v>1892</v>
      </c>
      <c r="D2" s="589" t="s">
        <v>1890</v>
      </c>
      <c r="E2" s="589" t="s">
        <v>1893</v>
      </c>
      <c r="F2" s="589" t="s">
        <v>1894</v>
      </c>
      <c r="G2" s="589" t="s">
        <v>1851</v>
      </c>
      <c r="H2" s="1396"/>
      <c r="I2" s="1259"/>
      <c r="J2" s="1403"/>
    </row>
    <row r="3" spans="1:13" ht="50.25" customHeight="1">
      <c r="A3" s="377"/>
      <c r="B3" s="453" t="s">
        <v>1828</v>
      </c>
      <c r="C3" s="266"/>
      <c r="D3" s="725">
        <v>2</v>
      </c>
      <c r="E3" s="589"/>
      <c r="F3" s="726">
        <v>20</v>
      </c>
      <c r="G3" s="589"/>
      <c r="H3" s="727">
        <v>0</v>
      </c>
      <c r="I3" s="663">
        <f>(D3*F3^2+D3*H3^2)/100</f>
        <v>8</v>
      </c>
      <c r="J3" s="453" t="s">
        <v>1829</v>
      </c>
    </row>
    <row r="4" spans="1:13" ht="61.5" customHeight="1">
      <c r="A4" s="377"/>
      <c r="B4" s="453" t="s">
        <v>1849</v>
      </c>
      <c r="C4" s="266"/>
      <c r="D4" s="725">
        <v>2</v>
      </c>
      <c r="E4" s="589"/>
      <c r="F4" s="726">
        <v>20</v>
      </c>
      <c r="G4" s="589"/>
      <c r="H4" s="727">
        <v>0</v>
      </c>
      <c r="I4" s="663">
        <f>(D4*(F4^2)/2+D4*H4^2)/100</f>
        <v>4</v>
      </c>
      <c r="J4" s="665" t="s">
        <v>1830</v>
      </c>
    </row>
    <row r="5" spans="1:13" ht="60" customHeight="1">
      <c r="A5" s="377"/>
      <c r="B5" s="728" t="s">
        <v>1831</v>
      </c>
      <c r="C5" s="266"/>
      <c r="D5" s="729">
        <v>2</v>
      </c>
      <c r="E5" s="726">
        <v>20</v>
      </c>
      <c r="F5" s="726">
        <v>10</v>
      </c>
      <c r="G5" s="589"/>
      <c r="H5" s="727">
        <v>0</v>
      </c>
      <c r="I5" s="664">
        <f>(D5*F5^2/2+D5*H5^2)/100</f>
        <v>1</v>
      </c>
      <c r="J5" s="728"/>
    </row>
    <row r="6" spans="1:13" ht="60" customHeight="1">
      <c r="A6" s="377"/>
      <c r="B6" s="453" t="s">
        <v>1832</v>
      </c>
      <c r="C6" s="456"/>
      <c r="D6" s="725">
        <v>2</v>
      </c>
      <c r="E6" s="589"/>
      <c r="F6" s="726">
        <v>20</v>
      </c>
      <c r="G6" s="589"/>
      <c r="H6" s="727">
        <v>0</v>
      </c>
      <c r="I6" s="663">
        <f>(D6*F6^2+D6*H6^2)/100</f>
        <v>8</v>
      </c>
      <c r="J6" s="730"/>
    </row>
    <row r="7" spans="1:13" ht="60" customHeight="1">
      <c r="A7" s="377"/>
      <c r="B7" s="453" t="s">
        <v>1838</v>
      </c>
      <c r="C7" s="266"/>
      <c r="D7" s="727">
        <v>2</v>
      </c>
      <c r="E7" s="589"/>
      <c r="F7" s="727">
        <v>20</v>
      </c>
      <c r="G7" s="589"/>
      <c r="H7" s="727">
        <v>0</v>
      </c>
      <c r="I7" s="663">
        <f>(D7*(F7^2)/2+D7*H7^2)/100</f>
        <v>4</v>
      </c>
      <c r="J7" s="266"/>
    </row>
    <row r="8" spans="1:13" ht="60" customHeight="1">
      <c r="A8" s="517"/>
      <c r="B8" s="453" t="s">
        <v>1833</v>
      </c>
      <c r="C8" s="266"/>
      <c r="D8" s="727">
        <v>2</v>
      </c>
      <c r="E8" s="589"/>
      <c r="F8" s="726">
        <v>20</v>
      </c>
      <c r="G8" s="589"/>
      <c r="H8" s="727">
        <v>0</v>
      </c>
      <c r="I8" s="663">
        <f>(D8*F8^2*2/5+D8*H8^2)/100</f>
        <v>3.2</v>
      </c>
      <c r="J8" s="266"/>
    </row>
    <row r="9" spans="1:13" ht="60" customHeight="1">
      <c r="A9" s="377"/>
      <c r="B9" s="453" t="s">
        <v>1834</v>
      </c>
      <c r="C9" s="266"/>
      <c r="D9" s="727">
        <v>2</v>
      </c>
      <c r="E9" s="589"/>
      <c r="F9" s="726">
        <v>20</v>
      </c>
      <c r="G9" s="589"/>
      <c r="H9" s="727">
        <v>0</v>
      </c>
      <c r="I9" s="663">
        <f>(D9*F9^2*2/3+D9*H9^2)/100</f>
        <v>5.3333333333333339</v>
      </c>
      <c r="J9" s="266"/>
    </row>
    <row r="10" spans="1:13" ht="60" customHeight="1">
      <c r="A10" s="377"/>
      <c r="B10" s="453" t="s">
        <v>1835</v>
      </c>
      <c r="C10" s="266"/>
      <c r="D10" s="725">
        <v>2</v>
      </c>
      <c r="E10" s="589"/>
      <c r="F10" s="589"/>
      <c r="G10" s="726">
        <v>20</v>
      </c>
      <c r="H10" s="727">
        <v>0</v>
      </c>
      <c r="I10" s="663">
        <f>(D10*G10^2/12+D10*H10^2)/100</f>
        <v>0.66666666666666674</v>
      </c>
      <c r="J10" s="435" t="s">
        <v>1852</v>
      </c>
    </row>
    <row r="11" spans="1:13" ht="60" customHeight="1">
      <c r="A11" s="377"/>
      <c r="B11" s="453" t="s">
        <v>1836</v>
      </c>
      <c r="C11" s="266"/>
      <c r="D11" s="727">
        <v>2</v>
      </c>
      <c r="E11" s="589"/>
      <c r="F11" s="589"/>
      <c r="G11" s="726">
        <v>20</v>
      </c>
      <c r="H11" s="589"/>
      <c r="I11" s="663">
        <f>(D11*G11^2/3)/100</f>
        <v>2.666666666666667</v>
      </c>
      <c r="J11" s="266"/>
    </row>
    <row r="12" spans="1:13" ht="60" customHeight="1">
      <c r="A12" s="377"/>
      <c r="B12" s="731" t="s">
        <v>1840</v>
      </c>
      <c r="C12" s="266"/>
      <c r="D12" s="725">
        <v>2</v>
      </c>
      <c r="E12" s="589"/>
      <c r="F12" s="727">
        <v>10</v>
      </c>
      <c r="G12" s="726">
        <v>20</v>
      </c>
      <c r="H12" s="727">
        <v>0</v>
      </c>
      <c r="I12" s="663">
        <f>(D12*G12^2/12+D12*F12^2/4+D12*13^2)/100</f>
        <v>4.5466666666666669</v>
      </c>
      <c r="J12" s="665" t="s">
        <v>1837</v>
      </c>
    </row>
    <row r="13" spans="1:13" ht="60" customHeight="1">
      <c r="A13" s="377"/>
      <c r="B13" s="453" t="s">
        <v>1839</v>
      </c>
      <c r="C13" s="266"/>
      <c r="D13" s="727">
        <v>2</v>
      </c>
      <c r="E13" s="726">
        <v>10</v>
      </c>
      <c r="F13" s="726">
        <v>20</v>
      </c>
      <c r="G13" s="589"/>
      <c r="H13" s="727">
        <v>0</v>
      </c>
      <c r="I13" s="663">
        <f>(D13*(E13^2+F13^2)/12+D13*H13^2)/100</f>
        <v>0.83333333333333326</v>
      </c>
      <c r="J13" s="266"/>
    </row>
    <row r="14" spans="1:13" ht="72" customHeight="1">
      <c r="A14" s="732" t="s">
        <v>1850</v>
      </c>
      <c r="B14" s="1399"/>
      <c r="C14" s="1400"/>
      <c r="D14" s="266"/>
      <c r="E14" s="589"/>
      <c r="F14" s="589"/>
      <c r="G14" s="589"/>
      <c r="H14" s="589"/>
      <c r="I14" s="589"/>
      <c r="J14" s="663"/>
    </row>
    <row r="15" spans="1:13" ht="28.5" customHeight="1"/>
    <row r="16" spans="1:13" ht="21.75" customHeight="1">
      <c r="A16" s="1401" t="s">
        <v>1842</v>
      </c>
      <c r="B16" s="1402"/>
      <c r="C16" s="1402"/>
      <c r="D16" s="1402"/>
      <c r="E16" s="1402"/>
      <c r="F16" s="1402"/>
      <c r="G16" s="442" t="s">
        <v>1874</v>
      </c>
      <c r="H16" s="442" t="s">
        <v>1875</v>
      </c>
      <c r="I16" s="442" t="s">
        <v>1884</v>
      </c>
      <c r="J16" s="442" t="s">
        <v>1876</v>
      </c>
      <c r="K16" s="658" t="s">
        <v>1877</v>
      </c>
      <c r="L16" s="658" t="s">
        <v>1878</v>
      </c>
      <c r="M16" s="442" t="s">
        <v>1886</v>
      </c>
    </row>
    <row r="17" spans="1:13" ht="17.25" customHeight="1">
      <c r="A17" s="435" t="s">
        <v>1841</v>
      </c>
      <c r="B17" s="435" t="s">
        <v>1843</v>
      </c>
      <c r="C17" s="573" t="s">
        <v>1867</v>
      </c>
      <c r="D17" s="1403" t="s">
        <v>1827</v>
      </c>
      <c r="E17" s="1403"/>
      <c r="F17" s="1404"/>
      <c r="G17" s="444" t="s">
        <v>1879</v>
      </c>
      <c r="H17" s="444" t="s">
        <v>1880</v>
      </c>
      <c r="I17" s="444" t="s">
        <v>1881</v>
      </c>
      <c r="J17" s="733" t="s">
        <v>1885</v>
      </c>
      <c r="K17" s="659" t="s">
        <v>1882</v>
      </c>
      <c r="L17" s="659" t="s">
        <v>1164</v>
      </c>
      <c r="M17" s="444" t="s">
        <v>1883</v>
      </c>
    </row>
    <row r="18" spans="1:13" ht="69.95" customHeight="1">
      <c r="A18" s="346"/>
      <c r="B18" s="665" t="s">
        <v>1844</v>
      </c>
      <c r="C18" s="266"/>
      <c r="D18" s="1073" t="s">
        <v>1871</v>
      </c>
      <c r="E18" s="1073"/>
      <c r="F18" s="266"/>
      <c r="G18" s="1390"/>
      <c r="H18" s="1390"/>
      <c r="I18" s="1390"/>
      <c r="J18" s="673">
        <v>20</v>
      </c>
      <c r="K18" s="673">
        <v>5</v>
      </c>
      <c r="L18" s="673">
        <v>0.9</v>
      </c>
      <c r="M18" s="663">
        <f>J18/K18^2/L18</f>
        <v>0.88888888888888895</v>
      </c>
    </row>
    <row r="19" spans="1:13" ht="45.75" customHeight="1">
      <c r="A19" s="346"/>
      <c r="B19" s="761" t="s">
        <v>1888</v>
      </c>
      <c r="C19" s="1019"/>
      <c r="D19" s="1073" t="s">
        <v>1845</v>
      </c>
      <c r="E19" s="1073"/>
      <c r="F19" s="1395" t="s">
        <v>1866</v>
      </c>
      <c r="G19" s="1393">
        <v>3</v>
      </c>
      <c r="H19" s="1393">
        <v>22.5</v>
      </c>
      <c r="I19" s="1390"/>
      <c r="J19" s="1390"/>
      <c r="K19" s="1390"/>
      <c r="L19" s="1393">
        <v>0.9</v>
      </c>
      <c r="M19" s="1397">
        <f>G19*(H19/10)^2/L19</f>
        <v>16.875</v>
      </c>
    </row>
    <row r="20" spans="1:13" ht="42.75" customHeight="1">
      <c r="A20" s="346"/>
      <c r="B20" s="761"/>
      <c r="C20" s="1019"/>
      <c r="D20" s="1073"/>
      <c r="E20" s="1073"/>
      <c r="F20" s="1395"/>
      <c r="G20" s="1393"/>
      <c r="H20" s="1393"/>
      <c r="I20" s="1390"/>
      <c r="J20" s="1390"/>
      <c r="K20" s="1390"/>
      <c r="L20" s="1393"/>
      <c r="M20" s="1398"/>
    </row>
    <row r="21" spans="1:13" ht="69.95" customHeight="1">
      <c r="A21" s="734" t="s">
        <v>1846</v>
      </c>
      <c r="B21" s="665" t="s">
        <v>1847</v>
      </c>
      <c r="C21" s="266"/>
      <c r="D21" s="1073" t="s">
        <v>1868</v>
      </c>
      <c r="E21" s="1073"/>
      <c r="F21" s="1395"/>
      <c r="G21" s="673">
        <v>20</v>
      </c>
      <c r="H21" s="735"/>
      <c r="I21" s="673">
        <v>5</v>
      </c>
      <c r="J21" s="1390"/>
      <c r="K21" s="1390"/>
      <c r="L21" s="673">
        <v>0.9</v>
      </c>
      <c r="M21" s="663">
        <f>G21*((I21/10)/(2*PI()))^2/L21</f>
        <v>0.14072386616991361</v>
      </c>
    </row>
    <row r="22" spans="1:13" ht="69.95" customHeight="1">
      <c r="A22" s="346"/>
      <c r="B22" s="435" t="s">
        <v>1889</v>
      </c>
      <c r="C22" s="266"/>
      <c r="D22" s="1073" t="s">
        <v>1870</v>
      </c>
      <c r="E22" s="1073"/>
      <c r="F22" s="1395"/>
      <c r="G22" s="1390"/>
      <c r="H22" s="1390"/>
      <c r="I22" s="1390"/>
      <c r="J22" s="673">
        <v>20</v>
      </c>
      <c r="K22" s="673">
        <v>5</v>
      </c>
      <c r="L22" s="673">
        <v>0.9</v>
      </c>
      <c r="M22" s="663">
        <f>J22/K22^2/L22</f>
        <v>0.88888888888888895</v>
      </c>
    </row>
    <row r="23" spans="1:13" ht="12.75" customHeight="1"/>
    <row r="24" spans="1:13" ht="14.25" customHeight="1">
      <c r="A24" s="1394" t="s">
        <v>1887</v>
      </c>
      <c r="B24" s="1394"/>
      <c r="C24" s="1394"/>
      <c r="D24" s="1394"/>
      <c r="E24" s="1394"/>
      <c r="F24" s="1394"/>
    </row>
    <row r="25" spans="1:13" ht="14.25" customHeight="1">
      <c r="A25" s="1394"/>
      <c r="B25" s="1394"/>
      <c r="C25" s="1394"/>
      <c r="D25" s="1394"/>
      <c r="E25" s="1394"/>
      <c r="F25" s="1394"/>
    </row>
    <row r="26" spans="1:13" ht="14.25" customHeight="1">
      <c r="A26" s="1394"/>
      <c r="B26" s="1394"/>
      <c r="C26" s="1394"/>
      <c r="D26" s="1394"/>
      <c r="E26" s="1394"/>
      <c r="F26" s="1394"/>
    </row>
    <row r="27" spans="1:13" ht="14.25" customHeight="1">
      <c r="A27" s="1394"/>
      <c r="B27" s="1394"/>
      <c r="C27" s="1394"/>
      <c r="D27" s="1394"/>
      <c r="E27" s="1394"/>
      <c r="F27" s="1394"/>
    </row>
    <row r="28" spans="1:13" ht="14.25" customHeight="1">
      <c r="A28" s="1394"/>
      <c r="B28" s="1394"/>
      <c r="C28" s="1394"/>
      <c r="D28" s="1394"/>
      <c r="E28" s="1394"/>
      <c r="F28" s="1394"/>
    </row>
    <row r="29" spans="1:13" ht="14.25" customHeight="1">
      <c r="A29" s="1394"/>
      <c r="B29" s="1394"/>
      <c r="C29" s="1394"/>
      <c r="D29" s="1394"/>
      <c r="E29" s="1394"/>
      <c r="F29" s="1394"/>
    </row>
    <row r="30" spans="1:13" ht="14.25" customHeight="1">
      <c r="A30" s="1394"/>
      <c r="B30" s="1394"/>
      <c r="C30" s="1394"/>
      <c r="D30" s="1394"/>
      <c r="E30" s="1394"/>
      <c r="F30" s="1394"/>
    </row>
    <row r="31" spans="1:13" ht="14.25" customHeight="1">
      <c r="A31" s="1394"/>
      <c r="B31" s="1394"/>
      <c r="C31" s="1394"/>
      <c r="D31" s="1394"/>
      <c r="E31" s="1394"/>
      <c r="F31" s="1394"/>
    </row>
    <row r="32" spans="1:13" ht="14.25" customHeight="1">
      <c r="A32" s="1394"/>
      <c r="B32" s="1394"/>
      <c r="C32" s="1394"/>
      <c r="D32" s="1394"/>
      <c r="E32" s="1394"/>
      <c r="F32" s="1394"/>
    </row>
    <row r="33" spans="1:6" ht="14.25" customHeight="1">
      <c r="A33" s="1394"/>
      <c r="B33" s="1394"/>
      <c r="C33" s="1394"/>
      <c r="D33" s="1394"/>
      <c r="E33" s="1394"/>
      <c r="F33" s="1394"/>
    </row>
    <row r="34" spans="1:6" ht="14.25" customHeight="1">
      <c r="A34" s="1394"/>
      <c r="B34" s="1394"/>
      <c r="C34" s="1394"/>
      <c r="D34" s="1394"/>
      <c r="E34" s="1394"/>
      <c r="F34" s="1394"/>
    </row>
    <row r="35" spans="1:6" ht="14.25" customHeight="1">
      <c r="A35" s="1394"/>
      <c r="B35" s="1394"/>
      <c r="C35" s="1394"/>
      <c r="D35" s="1394"/>
      <c r="E35" s="1394"/>
      <c r="F35" s="1394"/>
    </row>
    <row r="36" spans="1:6" ht="14.25" customHeight="1">
      <c r="A36" s="1394"/>
      <c r="B36" s="1394"/>
      <c r="C36" s="1394"/>
      <c r="D36" s="1394"/>
      <c r="E36" s="1394"/>
      <c r="F36" s="1394"/>
    </row>
    <row r="37" spans="1:6">
      <c r="A37" s="1391" t="s">
        <v>1869</v>
      </c>
      <c r="B37" s="1392"/>
      <c r="C37" s="1392"/>
      <c r="D37" s="1392"/>
      <c r="E37" s="1392"/>
      <c r="F37" s="1392"/>
    </row>
    <row r="38" spans="1:6">
      <c r="A38" s="1391"/>
      <c r="B38" s="1392"/>
      <c r="C38" s="1392"/>
      <c r="D38" s="1392"/>
      <c r="E38" s="1392"/>
      <c r="F38" s="1392"/>
    </row>
    <row r="39" spans="1:6">
      <c r="A39" s="1391"/>
      <c r="B39" s="1392"/>
      <c r="C39" s="1392"/>
      <c r="D39" s="1392"/>
      <c r="E39" s="1392"/>
      <c r="F39" s="1392"/>
    </row>
    <row r="40" spans="1:6">
      <c r="A40" s="1391"/>
      <c r="B40" s="1392"/>
      <c r="C40" s="1392"/>
      <c r="D40" s="1392"/>
      <c r="E40" s="1392"/>
      <c r="F40" s="1392"/>
    </row>
    <row r="41" spans="1:6">
      <c r="A41" s="1391"/>
      <c r="B41" s="1392"/>
      <c r="C41" s="1392"/>
      <c r="D41" s="1392"/>
      <c r="E41" s="1392"/>
      <c r="F41" s="1392"/>
    </row>
  </sheetData>
  <sheetProtection password="828E" sheet="1" objects="1" scenarios="1"/>
  <mergeCells count="25">
    <mergeCell ref="H1:H2"/>
    <mergeCell ref="A1:C1"/>
    <mergeCell ref="L19:L20"/>
    <mergeCell ref="M19:M20"/>
    <mergeCell ref="I19:K20"/>
    <mergeCell ref="G18:I18"/>
    <mergeCell ref="B14:C14"/>
    <mergeCell ref="A16:F16"/>
    <mergeCell ref="D17:F17"/>
    <mergeCell ref="D18:E18"/>
    <mergeCell ref="I1:I2"/>
    <mergeCell ref="D1:G1"/>
    <mergeCell ref="J1:J2"/>
    <mergeCell ref="G22:I22"/>
    <mergeCell ref="J21:K21"/>
    <mergeCell ref="A37:F41"/>
    <mergeCell ref="G19:G20"/>
    <mergeCell ref="A24:F36"/>
    <mergeCell ref="D21:E21"/>
    <mergeCell ref="F19:F22"/>
    <mergeCell ref="D22:E22"/>
    <mergeCell ref="H19:H20"/>
    <mergeCell ref="B19:B20"/>
    <mergeCell ref="C19:C20"/>
    <mergeCell ref="D19:E20"/>
  </mergeCells>
  <phoneticPr fontId="4" type="noConversion"/>
  <pageMargins left="0.7" right="0.7" top="0.75" bottom="0.75" header="0.3" footer="0.3"/>
  <pageSetup paperSize="9" orientation="portrait" r:id="rId1"/>
  <drawing r:id="rId2"/>
  <legacyDrawing r:id="rId3"/>
  <oleObjects>
    <oleObject progId="Equations" shapeId="12290" r:id="rId4"/>
    <oleObject progId="Equations" shapeId="12293" r:id="rId5"/>
    <oleObject progId="Equations" shapeId="12294" r:id="rId6"/>
    <oleObject progId="Equations" shapeId="12299" r:id="rId7"/>
    <oleObject progId="Equations" shapeId="12313" r:id="rId8"/>
    <oleObject progId="Equations" shapeId="12327" r:id="rId9"/>
    <oleObject progId="Equations" shapeId="12328" r:id="rId10"/>
    <oleObject progId="Equations" shapeId="12334" r:id="rId11"/>
    <oleObject progId="Equations" shapeId="12338" r:id="rId12"/>
    <oleObject progId="Equations" shapeId="12344" r:id="rId13"/>
    <oleObject progId="Equations" shapeId="12347" r:id="rId14"/>
    <oleObject progId="Equations" shapeId="12348" r:id="rId15"/>
    <oleObject progId="Equations" shapeId="12349" r:id="rId16"/>
    <oleObject progId="Equations" shapeId="12350" r:id="rId17"/>
    <oleObject progId="Equations" shapeId="12351" r:id="rId18"/>
    <oleObject progId="Equations" shapeId="12352" r:id="rId19"/>
    <oleObject progId="Equations" shapeId="12353" r:id="rId20"/>
    <oleObject progId="Equations" shapeId="12355" r:id="rId21"/>
    <oleObject progId="Equations" shapeId="12356" r:id="rId22"/>
    <oleObject progId="Equations" shapeId="12360" r:id="rId23"/>
    <oleObject progId="Equations" shapeId="12361" r:id="rId24"/>
    <oleObject progId="Equations" shapeId="12362" r:id="rId25"/>
    <oleObject progId="Equations" shapeId="12363" r:id="rId26"/>
    <oleObject progId="Equations" shapeId="12364" r:id="rId27"/>
    <oleObject progId="Equations" shapeId="12366" r:id="rId28"/>
    <oleObject progId="Equations" shapeId="12367" r:id="rId29"/>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35</vt:i4>
      </vt:variant>
    </vt:vector>
  </HeadingPairs>
  <TitlesOfParts>
    <vt:vector size="35" baseType="lpstr">
      <vt:lpstr>目录</vt:lpstr>
      <vt:lpstr>轴的计算校核</vt:lpstr>
      <vt:lpstr>轴承校核计算</vt:lpstr>
      <vt:lpstr>圆柱齿轮强度</vt:lpstr>
      <vt:lpstr>锥齿轮强度</vt:lpstr>
      <vt:lpstr>蜗杆蜗轮强度</vt:lpstr>
      <vt:lpstr>螺栓螺钉计算</vt:lpstr>
      <vt:lpstr>弹簧校核计算</vt:lpstr>
      <vt:lpstr>V带选型向导</vt:lpstr>
      <vt:lpstr>同步带选型向导</vt:lpstr>
      <vt:lpstr>传送平带转矩计算</vt:lpstr>
      <vt:lpstr>滚子链选型向导</vt:lpstr>
      <vt:lpstr>倍速链选型向导</vt:lpstr>
      <vt:lpstr>气缸选型向导</vt:lpstr>
      <vt:lpstr>回转气缸选型向导</vt:lpstr>
      <vt:lpstr>普通滑台气缸选型向导</vt:lpstr>
      <vt:lpstr>精密滑台气缸选型向导 </vt:lpstr>
      <vt:lpstr>气动手指选型向导</vt:lpstr>
      <vt:lpstr>电磁阀选型向导</vt:lpstr>
      <vt:lpstr>真空吸盘与发生器</vt:lpstr>
      <vt:lpstr>油压缓冲器选型</vt:lpstr>
      <vt:lpstr>液压缸选型向导</vt:lpstr>
      <vt:lpstr>液压马达选型向导</vt:lpstr>
      <vt:lpstr>液压泵选型向导</vt:lpstr>
      <vt:lpstr>直线轴承选型向导</vt:lpstr>
      <vt:lpstr>2x2直线导轨滑块与直线轴承</vt:lpstr>
      <vt:lpstr>2x1直线导轨滑块与直线轴承</vt:lpstr>
      <vt:lpstr>1x1直线导轨滑块与直线轴承</vt:lpstr>
      <vt:lpstr>滚珠丝杆选型</vt:lpstr>
      <vt:lpstr>步进伺服电机选型</vt:lpstr>
      <vt:lpstr>凸轮分割器</vt:lpstr>
      <vt:lpstr>硬度与强度换算</vt:lpstr>
      <vt:lpstr>管螺纹尺寸对照</vt:lpstr>
      <vt:lpstr>反解渐开线inv</vt:lpstr>
      <vt:lpstr>转动惯量</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2008-09-11T17:22:52Z</dcterms:created>
  <dcterms:modified xsi:type="dcterms:W3CDTF">2018-09-19T07:02:45Z</dcterms:modified>
</cp:coreProperties>
</file>