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uuAs\Desktop\"/>
    </mc:Choice>
  </mc:AlternateContent>
  <xr:revisionPtr revIDLastSave="0" documentId="13_ncr:1_{36780D3E-7524-4D13-B279-AF27D42D36E4}" xr6:coauthVersionLast="47" xr6:coauthVersionMax="47" xr10:uidLastSave="{00000000-0000-0000-0000-000000000000}"/>
  <bookViews>
    <workbookView xWindow="-120" yWindow="-120" windowWidth="29040" windowHeight="15720" firstSheet="8" activeTab="14"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Slicer_Region">#N/A</definedName>
  </definedNames>
  <calcPr calcId="191029"/>
  <pivotCaches>
    <pivotCache cacheId="3" r:id="rId16"/>
    <pivotCache cacheId="4"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<sst xmlns="http://schemas.openxmlformats.org/spreadsheetml/2006/main" count="22432" uniqueCount="127">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</sst>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sz val="11"/>
      <color theme="8" tint="-0.249977111117893"/>
      <name val="Calibri"/>
      <family val="2"/>
      <scheme val="minor"/>
    </font>
  </fonts>
  <fills count="5">
    <fill>
      <patternFill patternType="none"/>
    </fill>
    <fill>
      <patternFill patternType="gray125"/>
    </fill>
    <fill>
      <patternFill patternType="solid">
        <fgColor theme="2"/>
        <bgColor indexed="64"/>
      </patternFill>
    </fill>
    <fill>
      <patternFill patternType="solid">
        <fgColor theme="1" tint="0.14999847407452621"/>
        <bgColor theme="4" tint="0.79998168889431442"/>
      </patternFill>
    </fill>
    <fill>
      <patternFill patternType="solid">
        <fgColor theme="6" tint="0.79998168889431442"/>
        <bgColor indexed="64"/>
      </patternFill>
    </fill>
  </fills>
  <borders count="7">
    <border>
      <left/>
      <right/>
      <top/>
      <bottom/>
      <diagonal/>
    </border>
    <border>
      <left/>
      <right/>
      <top/>
      <bottom style="thin">
        <color theme="4" tint="0.39997558519241921"/>
      </bottom>
      <diagonal/>
    </border>
    <border>
      <left/>
      <right/>
      <top style="thin">
        <color theme="4" tint="0.39997558519241921"/>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theme="4" tint="0.39997558519241921"/>
      </top>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166" fontId="0" fillId="0" borderId="0" xfId="0" applyNumberFormat="1"/>
    <xf numFmtId="0" fontId="0" fillId="0" borderId="0" xfId="0" pivotButton="1"/>
    <xf numFmtId="0" fontId="0" fillId="0" borderId="0" xfId="0" applyAlignment="1">
      <alignment horizontal="left"/>
    </xf>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171" fontId="0" fillId="0" borderId="0" xfId="3" applyNumberFormat="1" applyFont="1"/>
    <xf numFmtId="173" fontId="0" fillId="0" borderId="0" xfId="1" applyNumberFormat="1" applyFont="1"/>
    <xf numFmtId="0" fontId="0" fillId="0" borderId="0" xfId="0" applyBorder="1" applyAlignment="1">
      <alignment horizontal="left"/>
    </xf>
    <xf numFmtId="10" fontId="0" fillId="0" borderId="0" xfId="0" applyNumberFormat="1" applyBorder="1"/>
    <xf numFmtId="0" fontId="0" fillId="0" borderId="3" xfId="0" applyBorder="1" applyAlignment="1">
      <alignment horizontal="left"/>
    </xf>
    <xf numFmtId="10" fontId="0" fillId="0" borderId="3" xfId="0" applyNumberFormat="1" applyBorder="1"/>
    <xf numFmtId="10" fontId="0" fillId="0" borderId="5" xfId="0" applyNumberFormat="1" applyBorder="1"/>
    <xf numFmtId="10" fontId="0" fillId="0" borderId="4" xfId="0" applyNumberFormat="1" applyBorder="1"/>
    <xf numFmtId="0" fontId="3" fillId="2" borderId="0" xfId="0" applyFont="1" applyFill="1" applyBorder="1" applyAlignment="1">
      <alignment horizontal="left"/>
    </xf>
    <xf numFmtId="0" fontId="3" fillId="2" borderId="3" xfId="0" applyFont="1" applyFill="1" applyBorder="1" applyAlignment="1">
      <alignment horizontal="left"/>
    </xf>
    <xf numFmtId="9" fontId="0" fillId="0" borderId="0" xfId="0" applyNumberFormat="1" applyBorder="1"/>
    <xf numFmtId="9" fontId="0" fillId="0" borderId="5" xfId="0" applyNumberFormat="1" applyBorder="1"/>
    <xf numFmtId="9" fontId="0" fillId="0" borderId="3" xfId="0" applyNumberFormat="1" applyBorder="1"/>
    <xf numFmtId="9" fontId="0" fillId="0" borderId="4" xfId="0" applyNumberFormat="1" applyBorder="1"/>
    <xf numFmtId="9" fontId="0" fillId="0" borderId="2" xfId="0" applyNumberFormat="1" applyBorder="1"/>
    <xf numFmtId="9" fontId="0" fillId="0" borderId="6" xfId="0" applyNumberFormat="1" applyBorder="1"/>
    <xf numFmtId="0" fontId="3" fillId="2" borderId="2" xfId="0" applyFont="1" applyFill="1" applyBorder="1" applyAlignment="1">
      <alignment horizontal="left"/>
    </xf>
    <xf numFmtId="0" fontId="2" fillId="3" borderId="1" xfId="0" applyFont="1" applyFill="1" applyBorder="1"/>
    <xf numFmtId="9" fontId="2" fillId="3" borderId="1" xfId="0" applyNumberFormat="1" applyFont="1" applyFill="1" applyBorder="1"/>
    <xf numFmtId="0" fontId="0" fillId="0" borderId="5" xfId="0" applyBorder="1" applyAlignment="1">
      <alignment horizontal="left"/>
    </xf>
    <xf numFmtId="0" fontId="0" fillId="0" borderId="0" xfId="0" pivotButton="1" applyBorder="1"/>
    <xf numFmtId="0" fontId="0" fillId="0" borderId="5" xfId="0" applyBorder="1"/>
    <xf numFmtId="167" fontId="0" fillId="0" borderId="5" xfId="0" applyNumberFormat="1" applyBorder="1"/>
    <xf numFmtId="0" fontId="0" fillId="0" borderId="0" xfId="0" applyBorder="1"/>
    <xf numFmtId="0" fontId="0" fillId="0" borderId="3" xfId="0" applyBorder="1"/>
    <xf numFmtId="167" fontId="0" fillId="0" borderId="4" xfId="2" applyNumberFormat="1" applyFont="1" applyBorder="1"/>
    <xf numFmtId="0" fontId="3" fillId="4" borderId="0" xfId="0" applyFont="1" applyFill="1" applyBorder="1" applyAlignment="1">
      <alignment horizontal="left"/>
    </xf>
    <xf numFmtId="0" fontId="3" fillId="4" borderId="3" xfId="0" applyFont="1" applyFill="1" applyBorder="1" applyAlignment="1">
      <alignment horizontal="left"/>
    </xf>
    <xf numFmtId="172" fontId="0" fillId="0" borderId="5" xfId="0" applyNumberFormat="1" applyBorder="1"/>
    <xf numFmtId="166" fontId="0" fillId="0" borderId="5" xfId="0" applyNumberFormat="1" applyBorder="1"/>
    <xf numFmtId="166" fontId="0" fillId="0" borderId="4" xfId="0" applyNumberFormat="1" applyBorder="1"/>
    <xf numFmtId="0" fontId="0" fillId="0" borderId="5" xfId="0" applyBorder="1" applyAlignment="1">
      <alignment horizontal="left" indent="1"/>
    </xf>
    <xf numFmtId="0" fontId="0" fillId="0" borderId="4" xfId="0" applyBorder="1" applyAlignment="1">
      <alignment horizontal="left" indent="1"/>
    </xf>
  </cellXfs>
  <cellStyles count="4">
    <cellStyle name="Comma" xfId="2" builtinId="3"/>
    <cellStyle name="Currency" xfId="1" builtinId="4"/>
    <cellStyle name="Normal" xfId="0" builtinId="0"/>
    <cellStyle name="Percent" xfId="3" builtinId="5"/>
  </cellStyles>
  <dxfs count="141">
    <dxf>
      <border>
        <right style="thin">
          <color indexed="64"/>
        </right>
      </border>
    </dxf>
    <dxf>
      <border>
        <right style="thin">
          <color indexed="64"/>
        </right>
      </border>
    </dxf>
    <dxf>
      <border>
        <bottom style="thin">
          <color indexed="64"/>
        </bottom>
      </border>
    </dxf>
    <dxf>
      <border>
        <bottom style="thin">
          <color indexed="64"/>
        </bottom>
      </border>
    </dxf>
    <dxf>
      <border>
        <right style="thin">
          <color indexed="64"/>
        </right>
      </border>
    </dxf>
    <dxf>
      <border>
        <right style="thin">
          <color indexed="64"/>
        </right>
      </border>
    </dxf>
    <dxf>
      <numFmt numFmtId="166" formatCode="_-[$$-409]* #,##0_ ;_-[$$-409]* \-#,##0\ ;_-[$$-409]* &quot;-&quot;??_ ;_-@_ "/>
    </dxf>
    <dxf>
      <numFmt numFmtId="169" formatCode="_-[$$-409]* #,##0.00_ ;_-[$$-409]* \-#,##0.00\ ;_-[$$-409]* &quot;-&quot;??_ ;_-@_ "/>
    </dxf>
    <dxf>
      <numFmt numFmtId="169" formatCode="_-[$$-409]* #,##0.00_ ;_-[$$-409]* \-#,##0.00\ ;_-[$$-409]* &quot;-&quot;??_ ;_-@_ "/>
    </dxf>
    <dxf>
      <numFmt numFmtId="169" formatCode="_-[$$-409]* #,##0.00_ ;_-[$$-409]* \-#,##0.00\ ;_-[$$-409]* &quot;-&quot;??_ ;_-@_ "/>
    </dxf>
    <dxf>
      <numFmt numFmtId="169" formatCode="_-[$$-409]* #,##0.00_ ;_-[$$-409]* \-#,##0.00\ ;_-[$$-409]* &quot;-&quot;??_ ;_-@_ "/>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theme="6" tint="0.79998168889431442"/>
        </patternFill>
      </fill>
    </dxf>
    <dxf>
      <fill>
        <patternFill patternType="solid">
          <bgColor theme="6" tint="0.59999389629810485"/>
        </patternFill>
      </fill>
    </dxf>
    <dxf>
      <font>
        <color theme="8" tint="-0.249977111117893"/>
      </font>
    </dxf>
    <dxf>
      <font>
        <color theme="8" tint="-0.249977111117893"/>
      </font>
    </dxf>
    <dxf>
      <fill>
        <patternFill patternType="solid">
          <bgColor theme="2"/>
        </patternFill>
      </fill>
    </dxf>
    <dxf>
      <border>
        <right style="thin">
          <color indexed="64"/>
        </right>
      </border>
    </dxf>
    <dxf>
      <border>
        <right style="thin">
          <color indexed="64"/>
        </right>
      </border>
    </dxf>
    <dxf>
      <border>
        <bottom style="thin">
          <color indexed="64"/>
        </bottom>
      </border>
    </dxf>
    <dxf>
      <border>
        <bottom style="thin">
          <color indexed="64"/>
        </bottom>
      </border>
    </dxf>
    <dxf>
      <fill>
        <patternFill patternType="solid">
          <bgColor theme="2"/>
        </patternFill>
      </fill>
    </dxf>
    <dxf>
      <font>
        <color theme="8" tint="-0.249977111117893"/>
      </font>
    </dxf>
    <dxf>
      <border>
        <bottom style="thin">
          <color indexed="64"/>
        </bottom>
      </border>
    </dxf>
    <dxf>
      <border>
        <bottom style="thin">
          <color indexed="64"/>
        </bottom>
      </border>
    </dxf>
    <dxf>
      <border>
        <right style="thin">
          <color indexed="64"/>
        </right>
      </border>
    </dxf>
    <dxf>
      <border>
        <right style="thin">
          <color indexed="64"/>
        </right>
      </border>
    </dxf>
    <dxf>
      <font>
        <color theme="8" tint="-0.249977111117893"/>
      </font>
    </dxf>
    <dxf>
      <fill>
        <patternFill patternType="solid">
          <bgColor theme="2"/>
        </patternFill>
      </fill>
    </dxf>
    <dxf>
      <border>
        <right style="thin">
          <color indexed="64"/>
        </right>
      </border>
    </dxf>
    <dxf>
      <border>
        <right style="thin">
          <color indexed="64"/>
        </right>
      </border>
    </dxf>
    <dxf>
      <border>
        <bottom style="thin">
          <color indexed="64"/>
        </bottom>
      </border>
    </dxf>
    <dxf>
      <border>
        <bottom style="thin">
          <color indexed="64"/>
        </bottom>
      </border>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[CustomerChurnAnalysisProject.xlsx]Market Share!PivotTable1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nl-BE"/>
              <a:t>Shampoo Brands Market Share Evolution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nl-BE"/>
        </a:p>
      </c:txPr>
    </c:title>
    <c:autoTitleDeleted val="0"/>
    <c:pivotFmts>
      <c:pivotFmt>
        <c:idx val="0"/>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1750" cap="rnd">
            <a:solidFill>
              <a:schemeClr val="accent1"/>
            </a:solidFill>
            <a:round/>
          </a:ln>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1750" cap="rnd">
            <a:solidFill>
              <a:schemeClr val="accent1"/>
            </a:solidFill>
            <a:round/>
          </a:ln>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1750" cap="rnd">
            <a:solidFill>
              <a:schemeClr val="accent1"/>
            </a:solidFill>
            <a:round/>
          </a:ln>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1750" cap="rnd">
            <a:solidFill>
              <a:schemeClr val="accent1"/>
            </a:solidFill>
            <a:round/>
          </a:ln>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1750" cap="rnd">
            <a:solidFill>
              <a:schemeClr val="accent1"/>
            </a:solidFill>
            <a:round/>
          </a:ln>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31750" cap="rnd">
            <a:solidFill>
              <a:schemeClr val="accent1"/>
            </a:solidFill>
            <a:round/>
          </a:ln>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31750" cap="rnd">
            <a:solidFill>
              <a:schemeClr val="accent1"/>
            </a:solidFill>
            <a:round/>
          </a:ln>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31750" cap="rnd">
            <a:solidFill>
              <a:schemeClr val="accent1"/>
            </a:solidFill>
            <a:round/>
          </a:ln>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31750" cap="rnd">
              <a:solidFill>
                <a:schemeClr val="accent1">
                  <a:lumMod val="60000"/>
                </a:schemeClr>
              </a:solidFill>
              <a:round/>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31750" cap="rnd">
              <a:solidFill>
                <a:schemeClr val="accent2">
                  <a:lumMod val="60000"/>
                </a:schemeClr>
              </a:solidFill>
              <a:round/>
            </a:ln>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31750" cap="rnd">
              <a:solidFill>
                <a:schemeClr val="accent3">
                  <a:lumMod val="60000"/>
                </a:schemeClr>
              </a:solidFill>
              <a:round/>
            </a:ln>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31750" cap="rnd">
              <a:solidFill>
                <a:schemeClr val="accent4">
                  <a:lumMod val="60000"/>
                </a:schemeClr>
              </a:solidFill>
              <a:round/>
            </a:ln>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31750" cap="rnd">
              <a:solidFill>
                <a:schemeClr val="accent5">
                  <a:lumMod val="60000"/>
                </a:schemeClr>
              </a:solidFill>
              <a:round/>
            </a:ln>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31750" cap="rnd">
              <a:solidFill>
                <a:schemeClr val="accent6">
                  <a:lumMod val="60000"/>
                </a:schemeClr>
              </a:solidFill>
              <a:round/>
            </a:ln>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31750" cap="rnd">
              <a:solidFill>
                <a:schemeClr val="accent1">
                  <a:lumMod val="80000"/>
                  <a:lumOff val="20000"/>
                </a:schemeClr>
              </a:solidFill>
              <a:round/>
            </a:ln>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31750" cap="rnd">
              <a:solidFill>
                <a:schemeClr val="accent2">
                  <a:lumMod val="80000"/>
                  <a:lumOff val="20000"/>
                </a:schemeClr>
              </a:solidFill>
              <a:round/>
            </a:ln>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31750" cap="rnd">
              <a:solidFill>
                <a:schemeClr val="accent3">
                  <a:lumMod val="80000"/>
                  <a:lumOff val="20000"/>
                </a:schemeClr>
              </a:solidFill>
              <a:round/>
            </a:ln>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31750" cap="rnd">
              <a:solidFill>
                <a:schemeClr val="accent4">
                  <a:lumMod val="80000"/>
                  <a:lumOff val="20000"/>
                </a:schemeClr>
              </a:solidFill>
              <a:round/>
            </a:ln>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31750" cap="rnd">
              <a:solidFill>
                <a:schemeClr val="accent5">
                  <a:lumMod val="80000"/>
                  <a:lumOff val="20000"/>
                </a:schemeClr>
              </a:solidFill>
              <a:round/>
            </a:ln>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31750" cap="rnd">
              <a:solidFill>
                <a:schemeClr val="accent6">
                  <a:lumMod val="80000"/>
                  <a:lumOff val="20000"/>
                </a:schemeClr>
              </a:solidFill>
              <a:round/>
            </a:ln>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31750" cap="rnd">
              <a:solidFill>
                <a:schemeClr val="accent1">
                  <a:lumMod val="80000"/>
                </a:schemeClr>
              </a:solidFill>
              <a:round/>
            </a:ln>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31750" cap="rnd">
              <a:solidFill>
                <a:schemeClr val="accent2">
                  <a:lumMod val="80000"/>
                </a:schemeClr>
              </a:solidFill>
              <a:round/>
            </a:ln>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31750" cap="rnd">
              <a:solidFill>
                <a:schemeClr val="accent3">
                  <a:lumMod val="80000"/>
                </a:schemeClr>
              </a:solidFill>
              <a:round/>
            </a:ln>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31750" cap="rnd">
              <a:solidFill>
                <a:schemeClr val="accent4">
                  <a:lumMod val="80000"/>
                </a:schemeClr>
              </a:solidFill>
              <a:round/>
            </a:ln>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31750" cap="rnd">
              <a:solidFill>
                <a:schemeClr val="accent5">
                  <a:lumMod val="80000"/>
                </a:schemeClr>
              </a:solidFill>
              <a:round/>
            </a:ln>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31750" cap="rnd">
              <a:solidFill>
                <a:schemeClr val="accent6">
                  <a:lumMod val="80000"/>
                </a:schemeClr>
              </a:solidFill>
              <a:round/>
            </a:ln>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31750" cap="rnd">
              <a:solidFill>
                <a:schemeClr val="accent1">
                  <a:lumMod val="60000"/>
                  <a:lumOff val="40000"/>
                </a:schemeClr>
              </a:solidFill>
              <a:round/>
            </a:ln>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12700">
                <a:solidFill>
                  <a:schemeClr val="l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marker val="1"/>
        <c:smooth val="0"/>
        <c:axId val="1428494256"/>
        <c:axId val="1424998384"/>
      </c:lineChart>
      <c:catAx>
        <c:axId val="142849425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nl-BE"/>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nl-BE"/>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[CustomerChurnAnalysisProject.xlsx]Promotion Graph!PivotTable2</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nl-BE"/>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marker val="1"/>
        <c:smooth val="0"/>
        <c:axId val="14221615"/>
        <c:axId val="645222512"/>
      </c:lineChart>
      <c:catAx>
        <c:axId val="1422161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2">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2225" cap="rnd" cmpd="sng" algn="ctr">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2225" cap="rnd" cmpd="sng" algn="ctr">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22225" cap="rnd" cmpd="sng" algn="ctr">
              <a:solidFill>
                <a:schemeClr val="accent3"/>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22225" cap="rnd" cmpd="sng" algn="ctr">
              <a:solidFill>
                <a:schemeClr val="accent4"/>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nl-BE"/>
          </a:p>
        </c:txPr>
        <c:crossAx val="492053935"/>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in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98">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476251</xdr:colOff>
      <xdr:row>10</xdr:row>
      <xdr:rowOff>176211</xdr:rowOff>
    </xdr:from>
    <xdr:to>
      <xdr:col>17</xdr:col>
      <xdr:colOff>933450</xdr:colOff>
      <xdr:row>35</xdr:row>
      <xdr:rowOff>142874</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171450</xdr:rowOff>
    </xdr:from>
    <xdr:to>
      <xdr:col>1</xdr:col>
      <xdr:colOff>476250</xdr:colOff>
      <xdr:row>17</xdr:row>
      <xdr:rowOff>85725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7645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276225</xdr:colOff>
      <xdr:row>2</xdr:row>
      <xdr:rowOff>4762</xdr:rowOff>
    </xdr:from>
    <xdr:to>
      <xdr:col>19</xdr:col>
      <xdr:colOff>608925</xdr:colOff>
      <xdr:row>27</xdr:row>
      <xdr:rowOff>38100</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0</xdr:row>
      <xdr:rowOff>0</xdr:rowOff>
    </xdr:from>
    <xdr:to>
      <xdr:col>9</xdr:col>
      <xdr:colOff>247650</xdr:colOff>
      <xdr:row>17</xdr:row>
      <xdr:rowOff>9525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8</xdr:row>
      <xdr:rowOff>23812</xdr:rowOff>
    </xdr:from>
    <xdr:to>
      <xdr:col>6</xdr:col>
      <xdr:colOff>600074</xdr:colOff>
      <xdr:row>23</xdr:row>
      <xdr:rowOff>100012</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4761</xdr:rowOff>
    </xdr:from>
    <xdr:to>
      <xdr:col>12</xdr:col>
      <xdr:colOff>438150</xdr:colOff>
      <xdr:row>29</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576261"/>
              <a:ext cx="11553825" cy="5081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formats count="3">
    <format dxfId="5">
      <pivotArea dataOnly="0" labelOnly="1" fieldPosition="0">
        <references count="1">
          <reference field="2" count="0"/>
        </references>
      </pivotArea>
    </format>
    <format dxfId="4">
      <pivotArea dataOnly="0" labelOnly="1" fieldPosition="0">
        <references count="1">
          <reference field="3" count="0"/>
        </references>
      </pivotArea>
    </format>
    <format dxfId="3">
      <pivotArea dataOnly="0" labelOnly="1" fieldPosition="0">
        <references count="1">
          <reference field="3" count="0"/>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D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formats count="6">
    <format dxfId="66">
      <pivotArea outline="0" collapsedLevelsAreSubtotals="1" fieldPosition="0"/>
    </format>
    <format dxfId="65">
      <pivotArea dataOnly="0" labelOnly="1" fieldPosition="0">
        <references count="1">
          <reference field="5" count="0"/>
        </references>
      </pivotArea>
    </format>
    <format dxfId="64">
      <pivotArea outline="0" collapsedLevelsAreSubtotals="1" fieldPosition="0"/>
    </format>
    <format dxfId="63">
      <pivotArea dataOnly="0" labelOnly="1" fieldPosition="0">
        <references count="1">
          <reference field="5" count="0"/>
        </references>
      </pivotArea>
    </format>
    <format dxfId="62">
      <pivotArea dataOnly="0" labelOnly="1" fieldPosition="0">
        <references count="1">
          <reference field="5" count="0"/>
        </references>
      </pivotArea>
    </format>
    <format dxfId="61">
      <pivotArea dataOnly="0" labelOnly="1" fieldPosition="0">
        <references count="1">
          <reference field="5" count="0"/>
        </references>
      </pivotArea>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140">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7">
    <format dxfId="139">
      <pivotArea outline="0" collapsedLevelsAreSubtotals="1" fieldPosition="0"/>
    </format>
    <format dxfId="60">
      <pivotArea outline="0" collapsedLevelsAreSubtotals="1" fieldPosition="0"/>
    </format>
    <format dxfId="59">
      <pivotArea dataOnly="0" labelOnly="1" fieldPosition="0">
        <references count="1">
          <reference field="5" count="0"/>
        </references>
      </pivotArea>
    </format>
    <format dxfId="58">
      <pivotArea outline="0" collapsedLevelsAreSubtotals="1" fieldPosition="0"/>
    </format>
    <format dxfId="57">
      <pivotArea dataOnly="0" labelOnly="1" fieldPosition="0">
        <references count="1">
          <reference field="5" count="0"/>
        </references>
      </pivotArea>
    </format>
    <format dxfId="56">
      <pivotArea dataOnly="0" labelOnly="1" fieldPosition="0">
        <references count="1">
          <reference field="5" count="0"/>
        </references>
      </pivotArea>
    </format>
    <format dxfId="55">
      <pivotArea dataOnly="0" labelOnly="1" fieldPosition="0">
        <references count="1">
          <reference field="5" count="0"/>
        </references>
      </pivotArea>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7">
    <format dxfId="130">
      <pivotArea outline="0" collapsedLevelsAreSubtotals="1" fieldPosition="0"/>
    </format>
    <format dxfId="54">
      <pivotArea outline="0" collapsedLevelsAreSubtotals="1" fieldPosition="0"/>
    </format>
    <format dxfId="53">
      <pivotArea dataOnly="0" labelOnly="1" fieldPosition="0">
        <references count="1">
          <reference field="3" count="0"/>
        </references>
      </pivotArea>
    </format>
    <format dxfId="52">
      <pivotArea outline="0" collapsedLevelsAreSubtotals="1" fieldPosition="0"/>
    </format>
    <format dxfId="51">
      <pivotArea dataOnly="0" labelOnly="1" fieldPosition="0">
        <references count="1">
          <reference field="3" count="0"/>
        </references>
      </pivotArea>
    </format>
    <format dxfId="50">
      <pivotArea dataOnly="0" labelOnly="1" fieldPosition="0">
        <references count="1">
          <reference field="3" count="0"/>
        </references>
      </pivotArea>
    </format>
    <format dxfId="49">
      <pivotArea dataOnly="0" labelOnly="1" fieldPosition="0">
        <references count="1">
          <reference field="3" count="0"/>
        </references>
      </pivotArea>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1">
    <format dxfId="109">
      <pivotArea outline="0" fieldPosition="0">
        <references count="1">
          <reference field="4294967294" count="1">
            <x v="0"/>
          </reference>
        </references>
      </pivotArea>
    </format>
    <format dxfId="108">
      <pivotArea outline="0" collapsedLevelsAreSubtotals="1" fieldPosition="0">
        <references count="1">
          <reference field="5" count="1" selected="0">
            <x v="4"/>
          </reference>
        </references>
      </pivotArea>
    </format>
    <format dxfId="48">
      <pivotArea dataOnly="0" labelOnly="1" fieldPosition="0">
        <references count="1">
          <reference field="1" count="0"/>
        </references>
      </pivotArea>
    </format>
    <format dxfId="47">
      <pivotArea dataOnly="0" labelOnly="1" fieldPosition="0">
        <references count="1">
          <reference field="1" count="0"/>
        </references>
      </pivotArea>
    </format>
    <format dxfId="46">
      <pivotArea dataOnly="0" labelOnly="1" fieldPosition="0">
        <references count="1">
          <reference field="1" count="0"/>
        </references>
      </pivotArea>
    </format>
    <format dxfId="33">
      <pivotArea type="all" dataOnly="0" outline="0" fieldPosition="0"/>
    </format>
    <format dxfId="32">
      <pivotArea outline="0" collapsedLevelsAreSubtotals="1" fieldPosition="0"/>
    </format>
    <format dxfId="31">
      <pivotArea type="origin" dataOnly="0" labelOnly="1" outline="0" fieldPosition="0"/>
    </format>
    <format dxfId="30">
      <pivotArea field="5" type="button" dataOnly="0" labelOnly="1" outline="0" axis="axisCol" fieldPosition="0"/>
    </format>
    <format dxfId="29">
      <pivotArea type="topRight" dataOnly="0" labelOnly="1" outline="0" fieldPosition="0"/>
    </format>
    <format dxfId="28">
      <pivotArea field="1" type="button" dataOnly="0" labelOnly="1" outline="0" axis="axisRow" fieldPosition="0"/>
    </format>
    <format dxfId="27">
      <pivotArea dataOnly="0" labelOnly="1" fieldPosition="0">
        <references count="1">
          <reference field="1" count="0"/>
        </references>
      </pivotArea>
    </format>
    <format dxfId="26">
      <pivotArea dataOnly="0" labelOnly="1" fieldPosition="0">
        <references count="1">
          <reference field="5" count="0"/>
        </references>
      </pivotArea>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5" type="button" dataOnly="0" labelOnly="1" outline="0" axis="axisCol" fieldPosition="0"/>
    </format>
    <format dxfId="21">
      <pivotArea type="topRight" dataOnly="0" labelOnly="1" outline="0" fieldPosition="0"/>
    </format>
    <format dxfId="20">
      <pivotArea field="1" type="button" dataOnly="0" labelOnly="1" outline="0" axis="axisRow" fieldPosition="0"/>
    </format>
    <format dxfId="19">
      <pivotArea dataOnly="0" labelOnly="1" fieldPosition="0">
        <references count="1">
          <reference field="1" count="0"/>
        </references>
      </pivotArea>
    </format>
    <format dxfId="18">
      <pivotArea dataOnly="0" labelOnly="1" fieldPosition="0">
        <references count="1">
          <reference field="5" count="0"/>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12">
    <format dxfId="111">
      <pivotArea outline="0" collapsedLevelsAreSubtotals="1" fieldPosition="0">
        <references count="1">
          <reference field="5" count="1" selected="0">
            <x v="4"/>
          </reference>
        </references>
      </pivotArea>
    </format>
    <format dxfId="110">
      <pivotArea outline="0" collapsedLevelsAreSubtotals="1" fieldPosition="0"/>
    </format>
    <format dxfId="45">
      <pivotArea type="all" dataOnly="0" outline="0" fieldPosition="0"/>
    </format>
    <format dxfId="44">
      <pivotArea outline="0" collapsedLevelsAreSubtotals="1" fieldPosition="0"/>
    </format>
    <format dxfId="43">
      <pivotArea field="1" type="button" dataOnly="0" labelOnly="1" outline="0" axis="axisRow" fieldPosition="0"/>
    </format>
    <format dxfId="42">
      <pivotArea dataOnly="0" labelOnly="1" fieldPosition="0">
        <references count="1">
          <reference field="1" count="0"/>
        </references>
      </pivotArea>
    </format>
    <format dxfId="41">
      <pivotArea dataOnly="0" labelOnly="1" outline="0" axis="axisValues" fieldPosition="0"/>
    </format>
    <format dxfId="39">
      <pivotArea type="all" dataOnly="0" outline="0" fieldPosition="0"/>
    </format>
    <format dxfId="38">
      <pivotArea outline="0" collapsedLevelsAreSubtotals="1" fieldPosition="0"/>
    </format>
    <format dxfId="37">
      <pivotArea field="1" type="button" dataOnly="0" labelOnly="1" outline="0" axis="axisRow" fieldPosition="0"/>
    </format>
    <format dxfId="36">
      <pivotArea dataOnly="0" labelOnly="1" fieldPosition="0">
        <references count="1">
          <reference field="1" count="0"/>
        </references>
      </pivotArea>
    </format>
    <format dxfId="35">
      <pivotArea dataOnly="0" labelOnly="1" outline="0" axis="axisValues"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3">
    <format dxfId="74">
      <pivotArea outline="0" collapsedLevelsAreSubtotals="1" fieldPosition="0"/>
    </format>
    <format dxfId="17">
      <pivotArea outline="0" collapsedLevelsAreSubtotals="1" fieldPosition="0"/>
    </format>
    <format dxfId="1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5">
    <format dxfId="67">
      <pivotArea collapsedLevelsAreSubtotals="1" fieldPosition="0">
        <references count="1">
          <reference field="5" count="0"/>
        </references>
      </pivotArea>
    </format>
    <format dxfId="14">
      <pivotArea outline="0" collapsedLevelsAreSubtotals="1" fieldPosition="0"/>
    </format>
    <format dxfId="13">
      <pivotArea dataOnly="0" labelOnly="1" fieldPosition="0">
        <references count="1">
          <reference field="5" count="0"/>
        </references>
      </pivotArea>
    </format>
    <format dxfId="12">
      <pivotArea outline="0" collapsedLevelsAreSubtotals="1" fieldPosition="0"/>
    </format>
    <format dxfId="11">
      <pivotArea dataOnly="0" labelOnly="1" fieldPosition="0">
        <references count="1">
          <reference field="5" count="0"/>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138"/>
    <tableColumn id="2" xr3:uid="{E62B3F1F-9A15-44B4-B1DD-CAF27CF3C747}" name="Subcategory" dataDxfId="137"/>
    <tableColumn id="3" xr3:uid="{FA4BBA42-4CD5-4FEC-99C8-F3DEA363596F}" name="Supplier" dataDxfId="136"/>
    <tableColumn id="4" xr3:uid="{363950AD-92F1-4B62-BAD5-6C6ED9D314C8}" name="Brand" dataDxfId="135"/>
    <tableColumn id="5" xr3:uid="{278D3098-9E4F-422C-8E1A-9941BBC3EF43}" name="Region" dataDxfId="13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13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13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131">
      <calculatedColumnFormula>dataset_shampoo[[#This Row],[Values YTD]]+SUMIFS(I:I,D:D,dataset_shampoo[[#This Row],[Brand]],E:E,dataset_shampoo[[#This Row],[Region]],F:F,dataset_shampoo[[#This Row],[Year]]-1,G:G,"&gt;"&amp;dataset_shampoo[[#This Row],[Month]])</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129"/>
    <tableColumn id="2" xr3:uid="{025C4312-31D3-409B-B984-DBF4AEFE2FA6}" name="Product" dataDxfId="128"/>
    <tableColumn id="3" xr3:uid="{D40B8F72-DA12-4584-B326-495AA00C251F}" name="Pack Size (ml)"/>
    <tableColumn id="4" xr3:uid="{E106DA15-1281-4518-AE4A-C358C1924FEA}" name="ProductID" dataDxfId="127"/>
    <tableColumn id="5" xr3:uid="{AE844CDE-AAF3-4312-96B5-E0534EF567F3}" name="Retail Price" dataDxfId="126" totalsRowDxfId="125" dataCellStyle="Currency"/>
    <tableColumn id="6" xr3:uid="{732BB0A7-0D20-404F-B2AF-EC6A28C2A71A}" name="Net Price" dataDxfId="124" totalsRowDxfId="123" dataCellStyle="Currency"/>
    <tableColumn id="7" xr3:uid="{BB7F7A5B-FAB9-4038-AD33-08EE0D4766AD}" name="COGS" dataDxfId="122" totalsRowDxfId="121" dataCellStyle="Currency"/>
    <tableColumn id="8" xr3:uid="{CCF364DE-01EF-4200-AB41-ED9058D076B5}" name="Volume 2022" totalsRowFunction="sum" dataDxfId="120" totalsRowDxfId="119" dataCellStyle="Comma"/>
    <tableColumn id="10" xr3:uid="{08E3A2F7-3C74-49D9-91B9-79AD4050A4A7}" name="Net Sales 2022" totalsRowFunction="sum" dataDxfId="118" totalsRowDxfId="117" dataCellStyle="Currency">
      <calculatedColumnFormula>internal_sales_data[[#This Row],[Volume 2022]]*internal_sales_data[[#This Row],[Net Price]]</calculatedColumnFormula>
    </tableColumn>
    <tableColumn id="9" xr3:uid="{3C283A83-C2B7-4006-B2BA-AFEDB11C31BE}" name="Gross Profit per unit" dataDxfId="116" totalsRowDxfId="115" dataCellStyle="Currency">
      <calculatedColumnFormula>internal_sales_data[[#This Row],[Net Price]]-internal_sales_data[[#This Row],[COGS]]</calculatedColumnFormula>
    </tableColumn>
    <tableColumn id="11" xr3:uid="{7C588C62-85DC-41E9-81C4-648DF71F5B17}" name="Gross Profit per product" totalsRowFunction="sum" dataDxfId="114" totalsRowDxfId="113" dataCellStyle="Currency">
      <calculatedColumnFormula>internal_sales_data[[#This Row],[Gross Profit per unit]]*internal_sales_data[[#This Row],[Volume 2022]]</calculatedColumnFormula>
    </tableColumn>
    <tableColumn id="12" xr3:uid="{2911D992-F8E1-40DE-AFC8-9AF339130FCA}" name="Gross Margin" totalsRowFunction="custom" totalsRowDxfId="112"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107"/>
    <tableColumn id="2" xr3:uid="{6AE352D5-6C16-4164-8AC0-45FA1FF286BF}" name="Estimated Unit Market Share" dataCellStyle="Percent"/>
    <tableColumn id="3" xr3:uid="{31AA58DE-DB16-4AD7-9EE2-3FBD593D8486}" name="Estimated units sold 2024" dataDxfId="106" dataCellStyle="Comma">
      <calculatedColumnFormula>new_product_launch[[#This Row],[Estimated Unit Market Share]]*'New Category Opportunity'!$B$18</calculatedColumnFormula>
    </tableColumn>
    <tableColumn id="4" xr3:uid="{983BA861-9FD5-40BD-BAD6-5572FA3B9563}" name="Net Price" dataDxfId="105"/>
    <tableColumn id="5" xr3:uid="{8197C623-3CF8-4E81-AD27-88ADB9A58EE4}" name="Net Sales" dataDxfId="104">
      <calculatedColumnFormula>new_product_launch[[#This Row],[Net Price]]*new_product_launch[[#This Row],[Estimated units sold 2024]]</calculatedColumnFormula>
    </tableColumn>
    <tableColumn id="6" xr3:uid="{0813BA88-04DC-44D1-BBDD-F8260333BD3F}" name="COGS" dataDxfId="103"/>
    <tableColumn id="7" xr3:uid="{0BDC181A-386D-45F3-8640-F0B86C17865D}" name="Gross Profit per unit" dataDxfId="102">
      <calculatedColumnFormula>new_product_launch[[#This Row],[Net Price]]-new_product_launch[[#This Row],[COGS]]</calculatedColumnFormula>
    </tableColumn>
    <tableColumn id="8" xr3:uid="{C9FE25C5-9CBC-4262-8F58-9FAD1AFE1F38}" name="Gross Profit per product" dataDxfId="101" dataCellStyle="Comma">
      <calculatedColumnFormula>new_product_launch[[#This Row],[Gross Profit per unit]]*new_product_launch[[#This Row],[Estimated units sold 2024]]</calculatedColumnFormula>
    </tableColumn>
    <tableColumn id="9" xr3:uid="{7B898487-076D-4DC9-AC86-FE42D0850365}" name="Gross Margin" dataDxfId="100">
      <calculatedColumnFormula>new_product_launch[[#This Row],[Gross Profit per product]]/new_product_launch[[#This Row],[Net Sales]]</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99"/>
    <tableColumn id="2" xr3:uid="{FAE7BF1E-D3B2-4767-B266-2B8270F3696C}" name="Product" dataDxfId="98"/>
    <tableColumn id="3" xr3:uid="{5A2D09FD-4038-4B54-B533-EFDB32DD1546}" name="Pack Size (ml)"/>
    <tableColumn id="4" xr3:uid="{B6E0B462-3954-414F-96BC-4A9A1E45F237}" name="ProductID" dataDxfId="97"/>
    <tableColumn id="5" xr3:uid="{A6C19464-69C2-4CF6-86FD-2DFC3C8BE682}" name="Retail Price" dataDxfId="96" totalsRowDxfId="95" dataCellStyle="Currency"/>
    <tableColumn id="6" xr3:uid="{F8166C40-CCF9-4D5A-991F-14A3DDE3FC7F}" name="Net Price" dataDxfId="94" totalsRowDxfId="93" dataCellStyle="Currency"/>
    <tableColumn id="7" xr3:uid="{9860B665-293D-4A43-A98E-0AAA70D26C13}" name="COGS" dataDxfId="92" totalsRowDxfId="91" dataCellStyle="Currency"/>
    <tableColumn id="8" xr3:uid="{683E31B5-9570-4041-8F3B-F7C43CD93243}" name="Volume 2022" totalsRowFunction="sum" dataDxfId="90" totalsRowDxfId="89" dataCellStyle="Comma"/>
    <tableColumn id="10" xr3:uid="{17710796-45DE-498A-B84A-F197DA71F214}" name="Net Sales 2022" totalsRowFunction="sum" dataDxfId="88" totalsRowDxfId="87" dataCellStyle="Currency">
      <calculatedColumnFormula>internal_sales_data5[[#This Row],[Volume 2022]]*internal_sales_data5[[#This Row],[Net Price]]</calculatedColumnFormula>
    </tableColumn>
    <tableColumn id="9" xr3:uid="{5DE58021-15DC-4013-86B1-6FE9C31F7787}" name="Gross Profit per unit" dataDxfId="86" totalsRowDxfId="85" dataCellStyle="Currency">
      <calculatedColumnFormula>internal_sales_data5[[#This Row],[Net Price]]-internal_sales_data5[[#This Row],[COGS]]</calculatedColumnFormula>
    </tableColumn>
    <tableColumn id="11" xr3:uid="{6BF3B56E-CE08-4DFA-AE34-BC12278250B4}" name="Gross Profit per product" totalsRowFunction="sum" dataDxfId="84" totalsRowDxfId="83"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82"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81" dataCellStyle="Percent">
      <calculatedColumnFormula>internal_sales_data5[[#This Row],[Retail Price]]/internal_sales_data5[[#This Row],[Pack Size (ml)]]</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80"/>
    <tableColumn id="3" xr3:uid="{2A121CD1-C0E3-4918-8551-814ACE7E3314}" name="Brand" dataDxfId="79"/>
    <tableColumn id="4" xr3:uid="{7543C383-8A02-4E74-AF99-92F550588F68}" name="Year"/>
    <tableColumn id="5" xr3:uid="{9E3981BC-C16F-410F-81E4-31419BE928F1}" name="Month"/>
    <tableColumn id="6" xr3:uid="{C0D21506-6E1F-4EA8-BD50-1AFB904058ED}" name="Value sales" dataDxfId="78" dataCellStyle="Currency"/>
    <tableColumn id="7" xr3:uid="{2FEECA98-4730-450F-AF86-23140A025659}" name="Baseline sales " dataDxfId="77" dataCellStyle="Currency"/>
    <tableColumn id="8" xr3:uid="{9DF34B1D-A2FE-45E8-91E8-847DD06125C7}" name="Uplift" dataDxfId="76" dataCellStyle="Currency"/>
    <tableColumn id="11" xr3:uid="{A4B2B49D-215C-42E9-97A0-9B114D4F2383}" name="Cost" dataDxfId="75"/>
    <tableColumn id="12" xr3:uid="{B2A83D1D-83B3-4A1B-A801-1459D8F8AE06}" name="ROI" dataCellStyle="Percent"/>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73"/>
    <tableColumn id="3" xr3:uid="{A3753415-934C-4D1D-A65D-4F5A8F2AE664}" name="Forecast" dataDxfId="72"/>
    <tableColumn id="4" xr3:uid="{87AF29BB-3B9B-48E1-AF86-C6520DE1890C}" name="Lower Confidence Bound" dataDxfId="71"/>
    <tableColumn id="5" xr3:uid="{517108CD-F72A-4B89-A961-C1493DECB118}" name="Upper Confidence Bound" dataDxfId="70"/>
    <tableColumn id="6" xr3:uid="{56237CD3-AD63-4186-A266-A3B7AE3CF470}" name="Net Sales" dataDxfId="69"/>
    <tableColumn id="7" xr3:uid="{49BA4978-1D1E-40F2-BFD3-E9344BD49738}" name="Ratio" dataDxfId="68"/>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8F42D4-EE4B-435E-AAF2-46290471CF0C}" name="Table6" displayName="Table6" ref="A1:E2" totalsRowShown="0">
  <autoFilter ref="A1:E2" xr:uid="{338F42D4-EE4B-435E-AAF2-46290471CF0C}"/>
  <tableColumns count="5">
    <tableColumn id="1" xr3:uid="{528F723A-901B-4A14-8CA6-F1AC8C627401}" name="Estimated Net Sales 2023" dataDxfId="10">
      <calculatedColumnFormula>'Forecast 2024'!F7</calculatedColumnFormula>
    </tableColumn>
    <tableColumn id="2" xr3:uid="{DD558598-6CDF-42AF-9A5C-5BF9D3808732}" name="Natural growth" dataDxfId="9">
      <calculatedColumnFormula>'Forecast 2024'!F8-'Forecast 2024'!F7</calculatedColumnFormula>
    </tableColumn>
    <tableColumn id="3" xr3:uid="{074F231A-4D98-4D03-BD7F-F5FA6D957360}" name="Organic shampoo" dataDxfId="8">
      <calculatedColumnFormula>'Organic Shampoo Launch'!E3</calculatedColumnFormula>
    </tableColumn>
    <tableColumn id="4" xr3:uid="{BA187DA7-1A66-450B-A032-C9719A72143D}" name="50ml shampoo" dataDxfId="7">
      <calculatedColumnFormula>'50ml Shampoo 2024'!I12</calculatedColumnFormula>
    </tableColumn>
    <tableColumn id="5" xr3:uid="{F40A441A-58F7-4844-A199-69FA77266E1E}" name="Estimated Net Sales 2024" dataDxfId="6">
      <calculatedColumnFormula>SUM(A2:D2)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5"/>
  <sheetViews>
    <sheetView workbookViewId="0">
      <selection activeCell="A48" sqref="A48"/>
    </sheetView>
  </sheetViews>
  <sheetFormatPr defaultRowHeight="15" x14ac:dyDescent="0.25"/>
  <cols>
    <col min="1" max="1" width="23.42578125" bestFit="1" customWidth="1"/>
  </cols>
  <sheetData>
    <row r="3" spans="1:1" x14ac:dyDescent="0.25">
      <c r="A3" s="2" t="s">
        <v>58</v>
      </c>
    </row>
    <row r="4" spans="1:1" x14ac:dyDescent="0.25">
      <c r="A4" s="33" t="s">
        <v>9</v>
      </c>
    </row>
    <row r="5" spans="1:1" x14ac:dyDescent="0.25">
      <c r="A5" s="45" t="s">
        <v>26</v>
      </c>
    </row>
    <row r="6" spans="1:1" x14ac:dyDescent="0.25">
      <c r="A6" s="45" t="s">
        <v>27</v>
      </c>
    </row>
    <row r="7" spans="1:1" x14ac:dyDescent="0.25">
      <c r="A7" s="45" t="s">
        <v>10</v>
      </c>
    </row>
    <row r="8" spans="1:1" x14ac:dyDescent="0.25">
      <c r="A8" s="46" t="s">
        <v>48</v>
      </c>
    </row>
    <row r="9" spans="1:1" x14ac:dyDescent="0.25">
      <c r="A9" s="33" t="s">
        <v>14</v>
      </c>
    </row>
    <row r="10" spans="1:1" x14ac:dyDescent="0.25">
      <c r="A10" s="46" t="s">
        <v>15</v>
      </c>
    </row>
    <row r="11" spans="1:1" x14ac:dyDescent="0.25">
      <c r="A11" s="33" t="s">
        <v>49</v>
      </c>
    </row>
    <row r="12" spans="1:1" x14ac:dyDescent="0.25">
      <c r="A12" s="46" t="s">
        <v>50</v>
      </c>
    </row>
    <row r="13" spans="1:1" x14ac:dyDescent="0.25">
      <c r="A13" s="33" t="s">
        <v>28</v>
      </c>
    </row>
    <row r="14" spans="1:1" x14ac:dyDescent="0.25">
      <c r="A14" s="46" t="s">
        <v>29</v>
      </c>
    </row>
    <row r="15" spans="1:1" x14ac:dyDescent="0.25">
      <c r="A15" s="33" t="s">
        <v>31</v>
      </c>
    </row>
    <row r="16" spans="1:1" x14ac:dyDescent="0.25">
      <c r="A16" s="46" t="s">
        <v>32</v>
      </c>
    </row>
    <row r="17" spans="1:1" x14ac:dyDescent="0.25">
      <c r="A17" s="33" t="s">
        <v>33</v>
      </c>
    </row>
    <row r="18" spans="1:1" x14ac:dyDescent="0.25">
      <c r="A18" s="45" t="s">
        <v>41</v>
      </c>
    </row>
    <row r="19" spans="1:1" x14ac:dyDescent="0.25">
      <c r="A19" s="46" t="s">
        <v>34</v>
      </c>
    </row>
    <row r="20" spans="1:1" x14ac:dyDescent="0.25">
      <c r="A20" s="33" t="s">
        <v>42</v>
      </c>
    </row>
    <row r="21" spans="1:1" x14ac:dyDescent="0.25">
      <c r="A21" s="46" t="s">
        <v>43</v>
      </c>
    </row>
    <row r="22" spans="1:1" x14ac:dyDescent="0.25">
      <c r="A22" s="33" t="s">
        <v>16</v>
      </c>
    </row>
    <row r="23" spans="1:1" x14ac:dyDescent="0.25">
      <c r="A23" s="45" t="s">
        <v>17</v>
      </c>
    </row>
    <row r="24" spans="1:1" x14ac:dyDescent="0.25">
      <c r="A24" s="45" t="s">
        <v>51</v>
      </c>
    </row>
    <row r="25" spans="1:1" x14ac:dyDescent="0.25">
      <c r="A25" s="46" t="s">
        <v>56</v>
      </c>
    </row>
    <row r="26" spans="1:1" x14ac:dyDescent="0.25">
      <c r="A26" s="33" t="s">
        <v>21</v>
      </c>
    </row>
    <row r="27" spans="1:1" x14ac:dyDescent="0.25">
      <c r="A27" s="45" t="s">
        <v>22</v>
      </c>
    </row>
    <row r="28" spans="1:1" x14ac:dyDescent="0.25">
      <c r="A28" s="46" t="s">
        <v>57</v>
      </c>
    </row>
    <row r="29" spans="1:1" x14ac:dyDescent="0.25">
      <c r="A29" s="33" t="s">
        <v>35</v>
      </c>
    </row>
    <row r="30" spans="1:1" x14ac:dyDescent="0.25">
      <c r="A30" s="46" t="s">
        <v>36</v>
      </c>
    </row>
    <row r="31" spans="1:1" x14ac:dyDescent="0.25">
      <c r="A31" s="33" t="s">
        <v>37</v>
      </c>
    </row>
    <row r="32" spans="1:1" x14ac:dyDescent="0.25">
      <c r="A32" s="46" t="s">
        <v>38</v>
      </c>
    </row>
    <row r="33" spans="1:1" x14ac:dyDescent="0.25">
      <c r="A33" s="33" t="s">
        <v>19</v>
      </c>
    </row>
    <row r="34" spans="1:1" x14ac:dyDescent="0.25">
      <c r="A34" s="46" t="s">
        <v>20</v>
      </c>
    </row>
    <row r="35" spans="1:1" x14ac:dyDescent="0.25">
      <c r="A35" s="33" t="s">
        <v>44</v>
      </c>
    </row>
    <row r="36" spans="1:1" x14ac:dyDescent="0.25">
      <c r="A36" s="46" t="s">
        <v>45</v>
      </c>
    </row>
    <row r="37" spans="1:1" x14ac:dyDescent="0.25">
      <c r="A37" s="33" t="s">
        <v>46</v>
      </c>
    </row>
    <row r="38" spans="1:1" x14ac:dyDescent="0.25">
      <c r="A38" s="46" t="s">
        <v>47</v>
      </c>
    </row>
    <row r="39" spans="1:1" x14ac:dyDescent="0.25">
      <c r="A39" s="33" t="s">
        <v>23</v>
      </c>
    </row>
    <row r="40" spans="1:1" x14ac:dyDescent="0.25">
      <c r="A40" s="45" t="s">
        <v>24</v>
      </c>
    </row>
    <row r="41" spans="1:1" x14ac:dyDescent="0.25">
      <c r="A41" s="46" t="s">
        <v>52</v>
      </c>
    </row>
    <row r="42" spans="1:1" x14ac:dyDescent="0.25">
      <c r="A42" s="33" t="s">
        <v>53</v>
      </c>
    </row>
    <row r="43" spans="1:1" x14ac:dyDescent="0.25">
      <c r="A43" s="46" t="s">
        <v>54</v>
      </c>
    </row>
    <row r="44" spans="1:1" x14ac:dyDescent="0.25">
      <c r="A44" s="33" t="s">
        <v>39</v>
      </c>
    </row>
    <row r="45" spans="1:1" x14ac:dyDescent="0.25">
      <c r="A45" s="4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9"/>
  <sheetViews>
    <sheetView workbookViewId="0">
      <selection activeCell="B19" sqref="B19"/>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22">
        <v>2018</v>
      </c>
      <c r="B5" s="17"/>
      <c r="C5" s="17"/>
      <c r="D5" s="20"/>
    </row>
    <row r="6" spans="1:4" x14ac:dyDescent="0.25">
      <c r="A6" s="22">
        <v>2019</v>
      </c>
      <c r="B6" s="17">
        <v>-1.8851917463244935E-2</v>
      </c>
      <c r="C6" s="17">
        <v>-6.0152376717658426E-2</v>
      </c>
      <c r="D6" s="20">
        <v>-4.6397507546699364E-2</v>
      </c>
    </row>
    <row r="7" spans="1:4" x14ac:dyDescent="0.25">
      <c r="A7" s="22">
        <v>2020</v>
      </c>
      <c r="B7" s="17">
        <v>7.659905577863356E-2</v>
      </c>
      <c r="C7" s="17">
        <v>1.7745774906480036E-2</v>
      </c>
      <c r="D7" s="20">
        <v>3.7912688764357619E-2</v>
      </c>
    </row>
    <row r="8" spans="1:4" x14ac:dyDescent="0.25">
      <c r="A8" s="22">
        <v>2021</v>
      </c>
      <c r="B8" s="17">
        <v>8.9543837962540954E-3</v>
      </c>
      <c r="C8" s="17">
        <v>1.2423428548747735E-2</v>
      </c>
      <c r="D8" s="20">
        <v>1.1190403666558416E-2</v>
      </c>
    </row>
    <row r="9" spans="1:4" x14ac:dyDescent="0.25">
      <c r="A9" s="23">
        <v>2022</v>
      </c>
      <c r="B9" s="19">
        <v>6.7382398799515006E-2</v>
      </c>
      <c r="C9" s="19">
        <v>-9.1123767974869612E-5</v>
      </c>
      <c r="D9" s="21">
        <v>2.3838392205789781E-2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2" sqref="A2"/>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A27" sqref="A27"/>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22">
        <v>2018</v>
      </c>
      <c r="B5" s="24">
        <v>0.28713712475643022</v>
      </c>
      <c r="C5" s="24">
        <v>0.20711307401000681</v>
      </c>
      <c r="D5" s="24">
        <v>0.19580732895642486</v>
      </c>
      <c r="E5" s="24">
        <v>5.1508098772750158E-2</v>
      </c>
      <c r="F5" s="24">
        <v>7.178618145627004E-2</v>
      </c>
      <c r="G5" s="24">
        <v>4.0513695904106847E-2</v>
      </c>
      <c r="H5" s="24">
        <v>1.9191431496288762E-2</v>
      </c>
      <c r="I5" s="24">
        <v>3.0091786221874649E-2</v>
      </c>
      <c r="J5" s="24">
        <v>1.6329206867999872E-2</v>
      </c>
      <c r="K5" s="24">
        <v>2.4145458151849021E-2</v>
      </c>
      <c r="L5" s="24">
        <v>2.1804208355788408E-2</v>
      </c>
      <c r="M5" s="24">
        <v>2.9166989536133624E-3</v>
      </c>
      <c r="N5" s="24">
        <v>7.6682114230005862E-3</v>
      </c>
      <c r="O5" s="24">
        <v>0</v>
      </c>
      <c r="P5" s="24">
        <v>2.094516694646341E-4</v>
      </c>
      <c r="Q5" s="24">
        <v>4.663255616729747E-3</v>
      </c>
      <c r="R5" s="24">
        <v>9.452773429366602E-4</v>
      </c>
      <c r="S5" s="24">
        <v>1.0413464050398947E-3</v>
      </c>
      <c r="T5" s="24">
        <v>4.4736511820732535E-3</v>
      </c>
      <c r="U5" s="24">
        <v>2.8491338989473517E-3</v>
      </c>
      <c r="V5" s="24">
        <v>4.8959327737358223E-3</v>
      </c>
      <c r="W5" s="24">
        <v>5.3545305822813723E-4</v>
      </c>
      <c r="X5" s="24">
        <v>2.880593877526213E-3</v>
      </c>
      <c r="Y5" s="24">
        <v>1.0856859721644642E-3</v>
      </c>
      <c r="Z5" s="24">
        <v>4.0771287675021015E-4</v>
      </c>
      <c r="AA5" s="25">
        <v>1</v>
      </c>
    </row>
    <row r="6" spans="1:27" x14ac:dyDescent="0.25">
      <c r="A6" s="22">
        <v>2019</v>
      </c>
      <c r="B6" s="24">
        <v>0.25904923507201605</v>
      </c>
      <c r="C6" s="24">
        <v>0.19816397201641067</v>
      </c>
      <c r="D6" s="24">
        <v>0.18474367344659962</v>
      </c>
      <c r="E6" s="24">
        <v>5.6812688011735266E-2</v>
      </c>
      <c r="F6" s="24">
        <v>5.9277113695512529E-2</v>
      </c>
      <c r="G6" s="24">
        <v>4.0922277831725189E-2</v>
      </c>
      <c r="H6" s="24">
        <v>2.4341995408735391E-2</v>
      </c>
      <c r="I6" s="24">
        <v>2.236716428301844E-2</v>
      </c>
      <c r="J6" s="24">
        <v>2.1550628955707328E-2</v>
      </c>
      <c r="K6" s="24">
        <v>2.1631320720033057E-2</v>
      </c>
      <c r="L6" s="24">
        <v>2.0506233151473412E-2</v>
      </c>
      <c r="M6" s="24">
        <v>4.0560677106733278E-2</v>
      </c>
      <c r="N6" s="24">
        <v>1.1931553664575042E-2</v>
      </c>
      <c r="O6" s="24">
        <v>7.8819642807077752E-4</v>
      </c>
      <c r="P6" s="24">
        <v>6.7268743769865391E-3</v>
      </c>
      <c r="Q6" s="24">
        <v>8.8549835617750053E-3</v>
      </c>
      <c r="R6" s="24">
        <v>1.2080174103067034E-3</v>
      </c>
      <c r="S6" s="24">
        <v>3.4741615322700669E-3</v>
      </c>
      <c r="T6" s="24">
        <v>3.448332909056359E-3</v>
      </c>
      <c r="U6" s="24">
        <v>2.322458988970301E-3</v>
      </c>
      <c r="V6" s="24">
        <v>2.90127420098897E-3</v>
      </c>
      <c r="W6" s="24">
        <v>1.6195817015152963E-3</v>
      </c>
      <c r="X6" s="24">
        <v>4.0843098281873333E-3</v>
      </c>
      <c r="Y6" s="24">
        <v>2.0641727568332211E-3</v>
      </c>
      <c r="Z6" s="24">
        <v>6.4910294076416972E-4</v>
      </c>
      <c r="AA6" s="25">
        <v>1</v>
      </c>
    </row>
    <row r="7" spans="1:27" x14ac:dyDescent="0.25">
      <c r="A7" s="22">
        <v>2020</v>
      </c>
      <c r="B7" s="24">
        <v>0.23272893969080516</v>
      </c>
      <c r="C7" s="24">
        <v>0.23007198647854069</v>
      </c>
      <c r="D7" s="24">
        <v>0.18819353310506454</v>
      </c>
      <c r="E7" s="24">
        <v>5.4173527889970423E-2</v>
      </c>
      <c r="F7" s="24">
        <v>7.0552987120713742E-2</v>
      </c>
      <c r="G7" s="24">
        <v>3.7728835424569437E-2</v>
      </c>
      <c r="H7" s="24">
        <v>2.4413128135004993E-2</v>
      </c>
      <c r="I7" s="24">
        <v>2.1299542280136818E-2</v>
      </c>
      <c r="J7" s="24">
        <v>1.7732567621109689E-2</v>
      </c>
      <c r="K7" s="24">
        <v>2.041336839292936E-2</v>
      </c>
      <c r="L7" s="24">
        <v>2.321804101744597E-2</v>
      </c>
      <c r="M7" s="24">
        <v>2.1667343654561862E-2</v>
      </c>
      <c r="N7" s="24">
        <v>1.5867859567460878E-2</v>
      </c>
      <c r="O7" s="24">
        <v>6.6239181041297095E-3</v>
      </c>
      <c r="P7" s="24">
        <v>6.9550391515259321E-3</v>
      </c>
      <c r="Q7" s="24">
        <v>8.5480133539204192E-3</v>
      </c>
      <c r="R7" s="24">
        <v>2.4568333328283403E-3</v>
      </c>
      <c r="S7" s="24">
        <v>6.8355161811395034E-3</v>
      </c>
      <c r="T7" s="24">
        <v>2.8610655082479939E-3</v>
      </c>
      <c r="U7" s="24">
        <v>2.4668143741967269E-3</v>
      </c>
      <c r="V7" s="24">
        <v>3.7079568683555896E-4</v>
      </c>
      <c r="W7" s="24">
        <v>1.6074467123786478E-3</v>
      </c>
      <c r="X7" s="24">
        <v>6.0485110692422273E-4</v>
      </c>
      <c r="Y7" s="24">
        <v>1.9073770054986625E-3</v>
      </c>
      <c r="Z7" s="24">
        <v>7.0066910406073324E-4</v>
      </c>
      <c r="AA7" s="25">
        <v>1</v>
      </c>
    </row>
    <row r="8" spans="1:27" x14ac:dyDescent="0.25">
      <c r="A8" s="22">
        <v>2021</v>
      </c>
      <c r="B8" s="24">
        <v>0.23933441942319156</v>
      </c>
      <c r="C8" s="24">
        <v>0.25423146982741546</v>
      </c>
      <c r="D8" s="24">
        <v>0.20597791215204586</v>
      </c>
      <c r="E8" s="24">
        <v>5.5654416506638237E-2</v>
      </c>
      <c r="F8" s="24">
        <v>4.689899465338216E-2</v>
      </c>
      <c r="G8" s="24">
        <v>3.3835266204671026E-2</v>
      </c>
      <c r="H8" s="24">
        <v>2.462937095663181E-2</v>
      </c>
      <c r="I8" s="24">
        <v>2.0149779709904562E-2</v>
      </c>
      <c r="J8" s="24">
        <v>2.1657870350509381E-2</v>
      </c>
      <c r="K8" s="24">
        <v>2.0147834143747691E-2</v>
      </c>
      <c r="L8" s="24">
        <v>2.1349595392953218E-2</v>
      </c>
      <c r="M8" s="24">
        <v>2.0266064702511373E-3</v>
      </c>
      <c r="N8" s="24">
        <v>1.0336792991454107E-2</v>
      </c>
      <c r="O8" s="24">
        <v>9.8611768955667901E-3</v>
      </c>
      <c r="P8" s="24">
        <v>8.0465548240002301E-3</v>
      </c>
      <c r="Q8" s="24">
        <v>7.9670410317582777E-3</v>
      </c>
      <c r="R8" s="24">
        <v>3.9021995919953215E-3</v>
      </c>
      <c r="S8" s="24">
        <v>3.4948354534803795E-3</v>
      </c>
      <c r="T8" s="24">
        <v>3.1045997800926571E-3</v>
      </c>
      <c r="U8" s="24">
        <v>2.3393188152343188E-3</v>
      </c>
      <c r="V8" s="24">
        <v>1.854274206432935E-4</v>
      </c>
      <c r="W8" s="24">
        <v>2.0161303447910643E-3</v>
      </c>
      <c r="X8" s="24">
        <v>7.1080511246595843E-5</v>
      </c>
      <c r="Y8" s="24">
        <v>1.7741318466633761E-3</v>
      </c>
      <c r="Z8" s="24">
        <v>1.0071747017314258E-3</v>
      </c>
      <c r="AA8" s="25">
        <v>1</v>
      </c>
    </row>
    <row r="9" spans="1:27" x14ac:dyDescent="0.25">
      <c r="A9" s="22">
        <v>2022</v>
      </c>
      <c r="B9" s="24">
        <v>0.21988211553770903</v>
      </c>
      <c r="C9" s="24">
        <v>0.21271353524820888</v>
      </c>
      <c r="D9" s="24">
        <v>0.21771721536198152</v>
      </c>
      <c r="E9" s="24">
        <v>8.3024769799729878E-2</v>
      </c>
      <c r="F9" s="24">
        <v>3.6311211325487432E-2</v>
      </c>
      <c r="G9" s="24">
        <v>5.0350475288875235E-2</v>
      </c>
      <c r="H9" s="24">
        <v>2.1107903020238197E-2</v>
      </c>
      <c r="I9" s="24">
        <v>1.8484761430418509E-2</v>
      </c>
      <c r="J9" s="24">
        <v>2.6638051923869449E-2</v>
      </c>
      <c r="K9" s="24">
        <v>1.6519498323737895E-2</v>
      </c>
      <c r="L9" s="24">
        <v>1.8466789763682181E-2</v>
      </c>
      <c r="M9" s="24">
        <v>1.0329377851283418E-2</v>
      </c>
      <c r="N9" s="24">
        <v>1.3012641522996122E-2</v>
      </c>
      <c r="O9" s="24">
        <v>2.0294991845735137E-2</v>
      </c>
      <c r="P9" s="24">
        <v>7.5208177399953514E-3</v>
      </c>
      <c r="Q9" s="24">
        <v>1.2731734989109421E-4</v>
      </c>
      <c r="R9" s="24">
        <v>1.0521869558856858E-2</v>
      </c>
      <c r="S9" s="24">
        <v>5.5287053962628733E-3</v>
      </c>
      <c r="T9" s="24">
        <v>3.1955644367506783E-3</v>
      </c>
      <c r="U9" s="24">
        <v>2.2699875121455805E-3</v>
      </c>
      <c r="V9" s="24">
        <v>9.5993239997253584E-5</v>
      </c>
      <c r="W9" s="24">
        <v>2.2492731814093311E-3</v>
      </c>
      <c r="X9" s="24">
        <v>0</v>
      </c>
      <c r="Y9" s="24">
        <v>1.3029819260679842E-3</v>
      </c>
      <c r="Z9" s="24">
        <v>2.3341514146700605E-3</v>
      </c>
      <c r="AA9" s="25">
        <v>1</v>
      </c>
    </row>
    <row r="10" spans="1:27" x14ac:dyDescent="0.25">
      <c r="A10" s="23">
        <v>2023</v>
      </c>
      <c r="B10" s="26">
        <v>0.2009339108432408</v>
      </c>
      <c r="C10" s="26">
        <v>0.24690322638617238</v>
      </c>
      <c r="D10" s="26">
        <v>0.2161766057799068</v>
      </c>
      <c r="E10" s="26">
        <v>8.9794511505461791E-2</v>
      </c>
      <c r="F10" s="26">
        <v>3.3206205274681627E-2</v>
      </c>
      <c r="G10" s="26">
        <v>3.2527211034036572E-2</v>
      </c>
      <c r="H10" s="26">
        <v>1.9447298227311234E-2</v>
      </c>
      <c r="I10" s="26">
        <v>1.1276787958646554E-2</v>
      </c>
      <c r="J10" s="26">
        <v>4.0418935068842921E-2</v>
      </c>
      <c r="K10" s="26">
        <v>1.0773590326624569E-2</v>
      </c>
      <c r="L10" s="26">
        <v>2.8615909293557987E-3</v>
      </c>
      <c r="M10" s="26">
        <v>1.5373332783440927E-2</v>
      </c>
      <c r="N10" s="26">
        <v>1.1623542737123243E-2</v>
      </c>
      <c r="O10" s="26">
        <v>2.6204984375298803E-2</v>
      </c>
      <c r="P10" s="26">
        <v>7.4060369430928178E-3</v>
      </c>
      <c r="Q10" s="26">
        <v>0</v>
      </c>
      <c r="R10" s="26">
        <v>1.9024741241446621E-2</v>
      </c>
      <c r="S10" s="26">
        <v>4.4642661712719772E-3</v>
      </c>
      <c r="T10" s="26">
        <v>2.5708237994969407E-3</v>
      </c>
      <c r="U10" s="26">
        <v>2.3305146739479796E-3</v>
      </c>
      <c r="V10" s="26">
        <v>3.38690713860952E-5</v>
      </c>
      <c r="W10" s="26">
        <v>2.65146444565431E-3</v>
      </c>
      <c r="X10" s="26">
        <v>0</v>
      </c>
      <c r="Y10" s="26">
        <v>8.8704710773106481E-4</v>
      </c>
      <c r="Z10" s="26">
        <v>3.1095033158281692E-3</v>
      </c>
      <c r="AA10" s="2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I8" sqref="I8"/>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4"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4"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4">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4">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4">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4">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4">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4">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4">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4">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4">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4">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4">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4">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4">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4">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4">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4">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4">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4">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4">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4">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4">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4">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4">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4">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4">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4">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4">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4">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4">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4">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4">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4">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4">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4">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4">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4">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4">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4">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4">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4">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4">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4">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4">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4">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4">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4">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4">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4">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4">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4">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4">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4">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4">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4">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4">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4">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4">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4">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4">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4">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4">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4">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4">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4">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4">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4">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4">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4">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4">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4">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4">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4">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4">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4">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4">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4">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4">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4">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4">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4">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4">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4">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4">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4">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4">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4">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4">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4">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4">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4">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4">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4">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4">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4">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4">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4">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4">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4">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4">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4">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4">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4">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4">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4">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4">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4">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4">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4">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4">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4">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4">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4">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4">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4">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4">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4">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4">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4">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4">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4">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4">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4">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4">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4">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4">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4">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4">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4">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4">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4">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4">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4">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4">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4">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4">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4">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4">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4">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4">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4">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4">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4">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4">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4">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4">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4">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4">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4">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4">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4">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4">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4">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4">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4">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4">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4">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4">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4">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4">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4">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4">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4">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4">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4">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4">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4">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4">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4">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4">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4">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4">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4">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4">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4">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4">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4">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4">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4">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4">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4">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4">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4">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4">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4">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4">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4">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4">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4">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4">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4">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4">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4">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4">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4">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4">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4">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4">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4">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4">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4">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4">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4">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4">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4">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4">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4">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4">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4">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4">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4">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4">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4">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4">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4">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4">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4">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4">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4">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4">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4">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4">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4">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4">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4">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4">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4">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4">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4">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4">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4">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4">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4">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4">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4">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4">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4">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4">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4">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4">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4">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4">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4">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4">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4">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4">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4">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4">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4">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4">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4">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4">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4">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4">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4">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4">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4">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4">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4">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4">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4">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4">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4">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4">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4">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4">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4">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4">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4">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4">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4">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4">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4">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4">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4">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4">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4">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4">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4">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4">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4">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4">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4">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4">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4">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4">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4">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4">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4">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4">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4">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4">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4">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4">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4">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4">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4">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4">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4">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4">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4">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4">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4">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4">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4">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4">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4">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4">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4">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4">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4">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4">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4">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4">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4">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4">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4">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4">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4">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4">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4">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4">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4">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4">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4">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4">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4">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4">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4">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4">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4">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4">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4">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4">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4">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4">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4">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4">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4">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4">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4">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4">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4">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4">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4">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4">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4">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4">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4">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4">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4">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4">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4">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4">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4">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4">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4">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4">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4">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4">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4">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4">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4">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4">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4">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4">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4">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4">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4">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4">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4">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4">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4">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4">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4">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4">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4">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4">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4">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4">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4">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4">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4">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4">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4">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4">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4">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4">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4">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4">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4">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4">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4">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4">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4">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4">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4">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4">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4">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4">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4">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4">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4">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4">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4">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4">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4">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4">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4">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4">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4">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4">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4">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4">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4">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4">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4">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4">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4">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4">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4">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4">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4">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4">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4">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4">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4">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4">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4">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4">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4">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4">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4">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4">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4">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4">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4">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4">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4">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4">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4">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4">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4">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4">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4">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4">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4">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4">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4">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4">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4">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4">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4">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4">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4">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4">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4">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4">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4">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4">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4">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4">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4">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4">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4">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4">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4">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4">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4">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4">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4">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4">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4">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4">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4">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4">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4">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4">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4">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4">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4">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4">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4">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4">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4">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4">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4">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4">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4">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4">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4">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4">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4">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4">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4">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4">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4">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4">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4">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4">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4">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4">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4">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4">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4">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4">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4">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4">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4">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4">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4">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4">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4">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4">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4">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4">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4">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4">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4">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4">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4">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4">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4">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4">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4">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4">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4">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4">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4">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4">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4">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4">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4">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4">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4">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4">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4">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4">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4">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4">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4">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4">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4">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4">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4">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4">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4">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4">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4">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4">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4">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4">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4">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4">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4">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4">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4">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4">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4">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4">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4">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4">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4">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4">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4">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4">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4">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4">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4">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4">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4">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4">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4">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4">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4">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4">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4">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4">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4">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4">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4">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4">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4">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4">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4">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4">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4">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4">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4">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4">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4">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4">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4">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4">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4">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4">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4">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4">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4">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4">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4">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4">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4">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4">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4">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4">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4">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4">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4">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4">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4">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4">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4">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4">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4">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4">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4">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4">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4">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4">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4">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4">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4">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4">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4">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4">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4">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4">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4">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4">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4">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4">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4">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4">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4">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4">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4">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4">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4">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4">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4">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4">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4">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4">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4">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4">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4">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4">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4">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4">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4">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4">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4">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4">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4">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4">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4">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4">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4">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4">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4">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4">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4">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4">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4">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4">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4">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4">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4">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4">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4">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4">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4">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4">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4">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4">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4">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4">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4">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4">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4">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4">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4">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4">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4">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4">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4">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4">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4">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4">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4">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4">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4">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4">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4">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4">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4">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4">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4">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4">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4">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4">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4">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4">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4">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4">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4">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4">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4">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4">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4">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4">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4">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4">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4">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4">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4">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4">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4">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4">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4">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4">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4">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4">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4">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4">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4">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4">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4">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4">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4">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4">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4">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4">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4">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4">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4">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4">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4">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4">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4">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4">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4">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4">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4">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4">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4">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4">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4">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4">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4">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4">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4">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4">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4">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4">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4">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4">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4">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4">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4">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4">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4">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4">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4">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4">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4">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4">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4">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4">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4">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4">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4">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4">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4">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4">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4">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4">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4">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4">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4">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4">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4">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4">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4">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4">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4">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4">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4">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4">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4">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4">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4">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4">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4">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4">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4">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4">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4">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4">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4">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4">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4">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4">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4">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4">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4">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4">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4">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4">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4">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4">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4">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4">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4">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4">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4">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4">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4">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4">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4">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4">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4">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4">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4">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4">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4">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4">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4">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4">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4">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4">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4">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4">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4">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4">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4">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4">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4">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4">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4">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4">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4">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4">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4">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4">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4">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4">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4">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4">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4">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4">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4">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4">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4">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4">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4">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4">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4">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4">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4">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4">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4">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4">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4">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4">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4">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4">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4">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4">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4">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4">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4">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4">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4">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4">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4">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4">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4">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4">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4">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4">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4">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4">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4">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4">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4">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4">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4">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4">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4">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4">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4">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4">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4">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4">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4">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4">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4">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4">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4">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4">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4">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4">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4">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4">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4">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4">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4">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4">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4">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4">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4">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4">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4">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4">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4">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4">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4">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4">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4">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4">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4">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4">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4">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4">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4">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4">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4">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4">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4">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4">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4">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4">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4">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4">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4">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4">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4">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4">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4">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4">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4">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4">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4">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4">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4">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4">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4">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4">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4">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4">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4">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4">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4">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4">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4">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4">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4">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4">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4">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4">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4">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4">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4">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4">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4">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4">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4">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4">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4">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4">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4">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4">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4">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4">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4">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4">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4">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4">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4">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4">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4">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4">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4">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4">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4">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4">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4">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4">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4">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4">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4">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4">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4">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4">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4">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4">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4">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4">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4">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4">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4">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4">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4">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4">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4">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4">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4">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4">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4">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4">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4">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4">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4">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4">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4">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4">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4">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4">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4">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4">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4">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4">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4">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4">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4">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4">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4">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4">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4">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4">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4">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4">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4">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4">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4">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4">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4">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4">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4">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4">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4">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4">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4">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4">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4">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4">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4">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4">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4">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4">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4">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4">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4">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4">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4">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4">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4">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4">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4">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4">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4">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4">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4">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4">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4">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4">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4">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4">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4">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4">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4">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4">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4">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4">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4">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4">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4">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4">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4">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4">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4">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4">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4">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4">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4">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4">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4">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4">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4">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4">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4">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4">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4">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4">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4">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4">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4">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4">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4">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4">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4">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4">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4">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4">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4">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4">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4">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4">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4">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4">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4">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4">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4">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4">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4">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4">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4">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4">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4">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4">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4">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4">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4">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4">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4">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4">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4">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4">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4">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4">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4">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4">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4">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4">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4">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4">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4">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4">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4">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4">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4">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4">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4">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4">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4">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4">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4">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4">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4">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4">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4">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4">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4">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4">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4">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4">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4">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4">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4">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4">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4">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4">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4">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4">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4">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4">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4">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4">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4">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4">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4">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4">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4">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4">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4">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4">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4">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4">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4">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4">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4">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4">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4">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4">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4">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4">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4">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4">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4">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4">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4">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4">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4">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4">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4">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4">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4">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4">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4">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4">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4">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4">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4">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4">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4">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4">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4">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4">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4">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4">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4">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4">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4">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4">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4">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4">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4">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4">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4">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4">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4">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4">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4">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4">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4">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4">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4">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4">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4">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4">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4">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4">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4">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4">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4">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4">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4">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4">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4">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4">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4">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4">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4">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4">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4">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4">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4">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4">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4">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4">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4">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4">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4">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4">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4">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4">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4">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4">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4">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4">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4">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4">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4">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4">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4">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4">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4">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4">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4">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4">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4">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4">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4">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4">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4">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4">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4">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4">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4">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4">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4">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4">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4">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4">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4">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4">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4">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4">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4">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4">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4">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4">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4">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4">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4">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4">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4">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4">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4">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4">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4">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4">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4">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4">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4">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4">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4">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4">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4">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4">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4">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4">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4">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4">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4">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4">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4">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4">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4">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4">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4">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4">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4">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4">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4">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4">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4">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4">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4">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4">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4">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4">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4">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4">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4">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4">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4">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4">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4">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4">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4">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4">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4">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4">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4">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4">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4">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4">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4">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4">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4">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4">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4">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4">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4">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4">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4">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4">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4">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4">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4">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4">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4">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4">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4">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4">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4">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4">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4">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4">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4">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4">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4">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4">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4">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4">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4">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4">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4">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4">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4">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4">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4">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4">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4">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4">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4">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4">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4">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4">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4">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4">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4">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4">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4">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4">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4">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4">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4">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4">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4">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4">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4">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4">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4">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4">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4">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4">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4">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4">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4">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4">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4">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4">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4">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4">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4">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4">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4">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4">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4">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4">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4">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4">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4">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4">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4">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4">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4">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4">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4">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4">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4">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4">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4">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4">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4">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4">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4">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4">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4">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4">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4">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4">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4">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4">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4">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4">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4">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4">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4">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4">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4">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4">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4">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4">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4">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4">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4">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4">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4">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4">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4">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4">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4">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4">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4">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4">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4">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4">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4">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4">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4">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4">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4">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4">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4">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4">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4">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4">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4">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4">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4">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4">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4">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4">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4">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4">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4">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4">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4">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4">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4">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4">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4">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4">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4">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4">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4">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4">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4">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4">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4">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4">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4">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4">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4">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4">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4">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4">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4">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4">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4">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4">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4">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4">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4">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4">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4">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4">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4">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4">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4">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4">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4">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4">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4">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4">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4">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4">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4">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4">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4">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4">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4">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4">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4">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4">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4">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4">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4">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4">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4">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4">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4">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4">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4">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4">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4">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4">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4">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4">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4">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4">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4">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4">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4">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4">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4">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4">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4">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4">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4">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4">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4">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4">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4">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4">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4">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4">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4">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4">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4">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4">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4">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4">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4">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4">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4">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4">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4">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4">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4">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4">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4">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4">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4">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4">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4">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4">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4">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4">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4">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4">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4">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4">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4">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4">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4">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4">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4">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4">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4">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4">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4">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4">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4">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4">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4">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4">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4">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4">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4">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4">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4">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4">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4">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4">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4">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4">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4">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4">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4">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4">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4">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4">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4">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4">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4">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4">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4">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4">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4">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4">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4">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4">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4">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4">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4">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4">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4">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4">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4">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4">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4">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4">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4">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4">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4">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4">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4">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4">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4">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4">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4">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4">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4">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4">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4">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4">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4">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4">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4">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4">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4">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4">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4">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4">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4">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4">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4">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4">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4">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4">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4">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4">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4">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4">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4">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4">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4">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4">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4">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4">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4">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4">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4">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4">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4">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4">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4">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4">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4">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4">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4">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4">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4">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4">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4">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4">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4">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4">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4">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4">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4">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4">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4">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4">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4">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4">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4">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4">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4">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4">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4">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4">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4">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4">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4">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4">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4">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4">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4">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4">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4">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4">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4">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4">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4">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4">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4">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4">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4">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4">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4">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4">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4">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4">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4">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4">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4">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4">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4">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4">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4">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4">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4">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4">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4">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4">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4">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4">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4">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4">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4">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4">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4">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4">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4">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4">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4">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4">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4">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4">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4">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4">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4">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4">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4">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4">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4">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4">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4">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4">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4">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4">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4">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4">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4">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4">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4">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4">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4">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4">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4">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4">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4">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4">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4">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4">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4">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4">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4">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4">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4">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4">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4">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4">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4">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4">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4">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4">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4">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4">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4">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4">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4">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4">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4">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4">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4">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4">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4">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4">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4">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4">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4">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4">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4">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4">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4">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4">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4">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4">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4">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4">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4">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4">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4">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4">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4">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4">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4">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4">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4">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4">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4">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4">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4">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4">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4">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4">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4">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4">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4">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4">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4">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4">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4">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4">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4">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4">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4">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4">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4">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4">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4">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4">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4">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4">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4">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4">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4">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4">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4">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4">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4">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4">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4">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4">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4">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4">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4">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4">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4">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4">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4">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4">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4">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4">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4">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4">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4">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4">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4">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4">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4">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4">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4">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4">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4">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4">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4">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4">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4">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4">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4">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4">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4">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4">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4">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4">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4">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4">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4">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4">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4">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4">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4">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4">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4">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4">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4">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4">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4">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4">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4">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4">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4">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4">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4">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4">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4">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4">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4">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4">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4">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4">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4">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4">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4">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4">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4">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4">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4">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4">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4">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4">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4">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4">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4">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4">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4">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4">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4">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4">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4">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4">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4">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4">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4">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4">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4">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4">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4">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4">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4">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4">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4">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4">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4">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4">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4">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4">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4">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4">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4">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4">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4">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4">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4">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4">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4">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4">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4">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4">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4">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4">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4">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4">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4">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4">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4">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4">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4">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4">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4">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4">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4">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4">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4">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4">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4">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4">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4">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4">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4">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4">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4">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4">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4">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4">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4">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4">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4">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4">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4">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4">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4">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4">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4">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4">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4">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4">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4">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4">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4">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4">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4">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4">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4">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4">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4">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4">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4">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4">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4">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4">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4">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4">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4">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4">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4">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4">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4">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4">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4">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4">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4">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4">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4">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4">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4">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4">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4">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4">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4">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4">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4">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4">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4">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4">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4">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4">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4">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4">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4">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4">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4">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4">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4">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4">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4">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4">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4">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4">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4">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4">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4">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4">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4">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4">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4">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4">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4">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4">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4">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4">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4">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4">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4">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4">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4">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4">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4">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4">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4">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4">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4">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4">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4">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4">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4">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4">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4">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4">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4">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4">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4">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4">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4">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4">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4">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4">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4">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4">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4">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4">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4">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4">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4">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4">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4">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4">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4">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4">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4">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4">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4">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4">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4">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4">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4">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4">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4">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4">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4">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4">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4">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4">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4">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4">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4">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4">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4">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4">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4">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4">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4">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4">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4">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4">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4">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4">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4">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4">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4">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4">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4">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4">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4">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4">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4">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4">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4">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4">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4">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4">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4">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4">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4">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4">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4">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4">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4">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4">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4">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4">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4">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4">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4">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4">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4">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4">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4">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4">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4">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4">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4">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4">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4">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4">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4">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4">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4">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4">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4">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4">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4">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4">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4">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4">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4">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4">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4">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4">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4">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4">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4">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4">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4">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4">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4">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4">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4">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4">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4">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4">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4">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4">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4">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4">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4">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4">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4">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4">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4">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4">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4">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4">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4">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4">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4">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4">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4">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4">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4">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4">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4">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4">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4">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4">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4">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4">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4">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4">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4">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4">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4">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4">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4">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4">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4">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4">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4">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4">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4">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4">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4">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4">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4">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4">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4">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4">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4">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4">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4">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4">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4">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4">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4">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4">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4">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4">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4">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4">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4">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4">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4">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4">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4">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4">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4">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4">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4">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4">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4">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4">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4">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4">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4">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4">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4">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4">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4">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4">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4">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4">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4">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4">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4">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4">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4">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4">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4">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4">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4">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4">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4">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4">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4">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4">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4">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4">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4">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4">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4">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4">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4">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4">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4">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4">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4">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4">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4">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4">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4">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4">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4">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4">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4">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4">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4">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4">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4">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4">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4">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4">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4">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4">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4">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4">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4">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4">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4">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4">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4">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4">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4">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4">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4">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4">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4">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4">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4">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4">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4">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4">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4">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4">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4">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4">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4">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4">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4">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4">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4">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4">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4">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4">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4">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4">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4">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4">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4">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4">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4">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4">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4">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4">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4">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4">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4">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4">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4">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4">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4">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4">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4">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4">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4">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4">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4">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4">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4">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4">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4">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4">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4">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4">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4">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4">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4">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4">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4">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4">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4">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4">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4">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4">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4">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4">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4">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4">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4">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4">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4">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4">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4">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4">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4">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4">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4">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4">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4">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4">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4">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4">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4">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4">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4">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4">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4">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4">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4">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4">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4">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4">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4">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4">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4">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4">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4">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4">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4">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4">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4">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4">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4">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4">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4">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4">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4">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4">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4">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4">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4">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4">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4">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4">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4">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4">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4">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4">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4">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4">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4">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4">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4">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4">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4">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4">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4">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4">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4">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4">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4">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4">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4">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4">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4">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4">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4">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4">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4">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4">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4">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4">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4">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4">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4">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4">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4">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4">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4">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4">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4">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4">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4">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4">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4">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4">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4">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4">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4">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4">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4">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4">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4">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4">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4">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4">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4">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4">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4">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4">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4">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4">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4">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4">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4">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4">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4">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4">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4">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4">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4">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4">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4">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4">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4">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4">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4">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4">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4">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4">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4">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4">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4">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4">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4">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4">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4">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4">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4">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4">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4">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4">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4">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4">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4">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4">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4">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4">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4">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4">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4">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4">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4">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4">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4">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4">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4">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4">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4">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4">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4">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4">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4">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4">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4">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4">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4">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4">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4">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4">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4">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4">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4">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4">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4">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4">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4">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4">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4">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4">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4">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4">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4">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4">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4">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4">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4">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4">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4">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4">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4">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4">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4">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4">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4">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4">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4">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4">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4">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4">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4">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4">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4">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4">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4">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4">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4">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4">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4">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4">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4">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4">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4">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4">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4">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4">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4">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4">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4">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4">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4">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4">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4">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4">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4">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4">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4">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4">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4">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4">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4">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4">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4">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4">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4">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4">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4">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4">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4">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4">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4">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4">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4">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4">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4">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4">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4">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4">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4">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4">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4">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4">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4">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4">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4">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4">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4">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4">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4">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4">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4">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4">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4">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4">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4">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4">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4">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4">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4">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4">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4">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4">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4">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4">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4">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4">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4">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4">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4">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4">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4">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4">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4">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4">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4">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4">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4">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4">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4">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4">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4">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4">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4">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4">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4">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4">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4">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4">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4">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4">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4">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4">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4">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4">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4">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4">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4">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4">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4">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4">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4">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4">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4">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4">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4">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4">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4">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4">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4">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4">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4">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4">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4">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4">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4">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4">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4">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4">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4">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4">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4">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4">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4">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4">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4">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4">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4">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4">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4">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4">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4">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4">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4">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4">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4">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4">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4">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4">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4">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4">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4">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4">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4">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4">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4">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4">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4">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4">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4">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4">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4">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4">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4">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4">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4">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4">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4">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4">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4">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4">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4">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4">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4">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4">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4">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4">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4">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4">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4">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4">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4">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4">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4">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4">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4">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4">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4">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4">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4">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4">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4">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4">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4">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4">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4">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4">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4">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4">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4">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4">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4">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4">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4">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4">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4">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4">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4">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4">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4">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4">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4">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4">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4">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4">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4">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4">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4">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4">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4">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4">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4">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4">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4">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4">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4">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4">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4">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4">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4">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4">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4">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4">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4">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4">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4">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4">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4">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4">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4">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4">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4">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4">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4">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4">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4">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4">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4">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4">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4">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4">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4">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4">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4">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4">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4">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4">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4">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4">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4">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4">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4">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4">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4">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4">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4">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4">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4">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4">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4">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4">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4">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4">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4">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4">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4">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4">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4">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4">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4">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4">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4">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4">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4">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4">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4">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4">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4">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4">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4">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4">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4">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4">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4">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4">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4">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4">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4">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4">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4">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4">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4">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4">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4">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4">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4">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4">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4">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4">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4">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4">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4">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4">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4">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4">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4">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4">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4">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4">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4">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4">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4">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4">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4">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4">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4">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4">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4">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4">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4">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4">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4">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4">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4">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4">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4">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4">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4">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4">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4">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4">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4">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4">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4">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4">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4">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4">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4">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4">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4">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4">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4">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4">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4">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4">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4">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4">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4">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4">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4">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4">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4">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4">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4">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4">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4">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4">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4">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4">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4">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4">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4">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4">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4">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4">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4">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4">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4">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4">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4">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4">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4">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4">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4">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4">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4">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4">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4">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4">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4">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4">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4">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4">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4">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4">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4">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4">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4">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4">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4">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4">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4">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4">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4">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4">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4">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4">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4">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4">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4">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4">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4">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4">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4">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4">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4">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4">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4">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4">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4">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4">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4">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4">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4">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4">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4">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4">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4">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4">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4">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4">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4">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4">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4">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4">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4">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4">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4">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4">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4">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4">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4">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4">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4">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4">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4">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4">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4">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4">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4">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4">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4">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4">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4">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4">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4">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4">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4">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4">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4">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4">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4">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4">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4">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4">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4">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4">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4">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4">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4">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4">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4">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4">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4">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4">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4">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4">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4">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4">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4">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4">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4">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4">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4">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4">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4">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4">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4">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4">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4">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4">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4">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4">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4">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4">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4">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4">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4">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4">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4">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4">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4">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4">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4">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4">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4">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4">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4">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4">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4">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4">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4">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4">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4">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4">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4">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4">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4">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4">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4">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4">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4">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4">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4">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4">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4">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4">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4">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4">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4">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4">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4">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4">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4">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4">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4">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4">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4">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4">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4">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4">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4">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4">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4">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4">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4">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4">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4">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4">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4">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4">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4">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4">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4">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4">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4">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4">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4">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4">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4">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4">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4">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4">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4">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4">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4">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4">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4">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4">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4">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4">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4">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4">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4">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4">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4">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4">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4">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4">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4">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4">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4">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4">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4">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4">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4">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4">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4">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4">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4">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4">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4">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4">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4">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4">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4">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4">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4">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4">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4">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4">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4">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4">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4">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4">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4">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4">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4">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4">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4">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4">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4">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4">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4">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4">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4">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4">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4">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4">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4">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4">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4">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4">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4">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4">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4">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4">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4">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4">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4">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4">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4">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4">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4">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4">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4">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4">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4">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4">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4">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4">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4">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4">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4">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4">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4">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4">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4">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4">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4">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4">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4">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4">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4">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4">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4">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4">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4">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4">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4">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4">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4">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4">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4">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4">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4">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4">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4">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4">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4">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4">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4">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4">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4">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4">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4">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4">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4">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4">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4">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4">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4">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4">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4">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4">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4">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4">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4">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4">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4">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4">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4">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4">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4">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4">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4">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4">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4">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4">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4">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4">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4">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4">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4">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4">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4">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4">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4">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4">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4">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4">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4">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4">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4">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4">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4">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4">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4">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4">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4">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4">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4">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4">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4">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4">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4">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4">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4">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4">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4">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4">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4">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4">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4">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4">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4">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4">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4">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4">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4">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4">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4">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4">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4">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4">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4">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4">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4">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4">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4">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4">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4">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4">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4">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4">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4">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4">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4">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4">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4">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4">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4">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4">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4">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4">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4">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4">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4">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4">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4">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4">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4">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4">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4">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4">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4">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4">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4">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4">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4">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4">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4">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4">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4">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4">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4">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4">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4">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4">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4">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4">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4">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4">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4">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4">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4">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4">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4">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4">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4">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4">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4">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4">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4">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4">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4">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4">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4">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4">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4">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4">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4">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4">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4">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4">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4">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4">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4">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4">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4">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4">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4">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4">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4">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4">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4">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4">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4">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4">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4">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4">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4">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4">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4">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4">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4">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4">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4">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4">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4">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4">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4">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4">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4">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4">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4">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4">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4">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4">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4">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4">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4">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4">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4">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4">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4">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4">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4">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4">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4">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4">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4">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4">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4">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4">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4">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4">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4">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4">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4">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4">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4">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4">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4">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4">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4">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4">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4">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4">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4">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4">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4">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4">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4">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4">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4">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4">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4">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4">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4">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4">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4">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4">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4">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4">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4">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4">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4">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4">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4">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4">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4">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4">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4">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4">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4">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4">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4">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4">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4">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4">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4">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4">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4">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4">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4">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4">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4">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4">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4">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4">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4">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4">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4">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4">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4">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4">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4">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4">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4">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4">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4">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4">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4">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4">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4">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4">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4">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4">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4">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4">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4">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4">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4">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4">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4">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4">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4">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4">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4">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4">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4">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4">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4">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4">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4">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4">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4">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4">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4">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4">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4">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4">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4">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4">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4">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4">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4">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4">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4">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4">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4">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4">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4">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4">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4">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4">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4">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4">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4">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4">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4">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4">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4">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4">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4">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4">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4">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4">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4">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4">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4">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4">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4">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4">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4">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4">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4">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4">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4">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4">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4">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4">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4">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4">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4">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4">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4">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4">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4">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4">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4">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4">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4">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4">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4">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4">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4">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4">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4">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4">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4">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4">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4">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4">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4">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4">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4">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4">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4">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4">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4">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4">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4">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4">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4">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4">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4">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4">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4">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4">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4">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4">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4">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4">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4">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4">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4">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4">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4">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4">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4">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4">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4">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4">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4">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4">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4">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4">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4">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4">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4">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4">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4">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4">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4">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4">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4">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4">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4">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4">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4">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4">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4">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4">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4">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4">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4">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4">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4">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4">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4">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4">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4">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4">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4">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4">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4">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4">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4">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4">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4">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4">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4">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4">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4">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4">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4">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4">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4">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4">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4">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4">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4">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4">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4">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4">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4">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4">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4">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4">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4">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4">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4">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4">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4">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4">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4">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4">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4">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4">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4">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4">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4">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4">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4">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4">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4">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4">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4">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4">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4">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4">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4">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4">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4">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4">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4">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4">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4">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4">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4">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4">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4">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4">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4">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4">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4">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4">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4">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4">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4">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4">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4">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4">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4">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4">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4">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4">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4">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4">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4">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4">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4">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4">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4">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4">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4">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4">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4">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4">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4">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4">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4">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4">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4">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4">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4">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4">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4">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4">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4">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4">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4">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4">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4">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4">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4">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4">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4">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4">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4">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4">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4">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4">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4">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4">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4">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4">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4">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4">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4">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4">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4">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4">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4">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4">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4">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4">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4">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4">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4">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4">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4">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4">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4">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4">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4">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4">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4">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4">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4">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4">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4">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4">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4">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4">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4">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4">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4">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4">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4">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4">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4">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4">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4">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4">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4">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4">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4">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4">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4">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4">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4">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4">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4">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4">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4">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4">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4">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4">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4">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4">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4">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4">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4">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4">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4">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4">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4">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4">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4">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4">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4">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4">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4">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4">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4">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4">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4">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4">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4">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4">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4">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4">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4">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4">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4">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4">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4">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4">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4">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4">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4">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4">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4">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4">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4">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4">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4">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4">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4">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4">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4">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4">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4">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4">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4">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4">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4">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4">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4">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4">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4">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4">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4">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4">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4">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4">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4">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4">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4">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4">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4">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4">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4">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4">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4">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4">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4">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4">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4">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4">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4">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4">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4">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4">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4">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4">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4">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4">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4">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4">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4">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4">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4">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4">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4">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4">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4">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4">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4">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4">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4">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4">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4">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4">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4">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4">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4">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4">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4">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4">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4">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4">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4">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4">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4">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4">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4">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4">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4">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4">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4">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4">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4">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4">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4">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4">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4">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4">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4">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4">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4">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4">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4">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4">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4">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4">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4">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4">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4">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4">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4">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4">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4">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4">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4">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4">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4">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4">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4">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4">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4">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4">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4">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4">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4">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4">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4">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4">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4">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4">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4">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4">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4">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4">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4">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4">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4">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4">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4">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4">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4">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4">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4">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4">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4">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4">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4">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4">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4">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4">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4">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4">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4">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4">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4">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4">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4">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4">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4">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4">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4">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4">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4">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4">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4">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4">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4">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4">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4">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4">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4">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4">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4">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4">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4">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4">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4">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4">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4">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4">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4">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4">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4">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4">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4">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4">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4">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4">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4">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4">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4">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4">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4">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4">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4">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4">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4">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4">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4">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4">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4">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4">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4">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4">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4">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4">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4">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4">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4">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4">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4">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4">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4">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4">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4">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4">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4">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4">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4">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4">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4">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4">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4">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4">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4">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4">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4">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4">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4">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4">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4">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4">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4">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4">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4">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4">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4">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4">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4">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4">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4">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4">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4">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4">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4">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4">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4">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4">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4">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4">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4">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4">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4">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4">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4">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4">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4">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4">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4">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4">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4">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4">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4">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4">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4">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4">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4">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4">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4">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4">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4">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4">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4">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4">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4">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4">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4">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4">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4">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4">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4">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4">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4">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4">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4">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4">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4">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4">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4">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4">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4">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4">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4">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4">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4">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4">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4">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4">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4">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4">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4">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4">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4">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4">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4">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4">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4">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4">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4">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4">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4">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4">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4">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4">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4">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4">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4">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4">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4">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4">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4">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4">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4">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4">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4">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4">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4">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4">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4">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4">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4">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4">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4">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4">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4">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4">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4">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4">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4">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4">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4">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4">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4">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4">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4">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4">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4">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4">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4">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4">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4">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4">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4">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4">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4">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4">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4">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4">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4">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4">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4">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4">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4">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4">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4">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4">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4">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4">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4">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4">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4">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4">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4">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4">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4">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4">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4">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4">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4">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4">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4">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4">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4">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4">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4">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4">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4">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4">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4">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4">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4">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4">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4">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4">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4">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4">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4">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4">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4">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4">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4">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4">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4">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4">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4">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4">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4">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4">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4">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4">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4">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4">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4">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4">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4">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4">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4">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4">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4">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4">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4">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4">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4">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4">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4">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4">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4">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4">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4">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4">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4">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4">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4">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4">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4">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4">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4">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4">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4">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4">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4">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4">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4">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4">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4">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4">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4">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4">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4">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4">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4">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4">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4">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4">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4">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4">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4">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4">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4">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4">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4">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4">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4">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4">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4">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4">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4">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4">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4">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4">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4">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4">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4">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4">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4">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4">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4">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4">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4">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4">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4">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4">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4">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4">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4">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4">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4">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4">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4">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4">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4">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4">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4">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4">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4">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4">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4">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4">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4">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4">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4">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4">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4">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4">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4">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4">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4">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4">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4">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4">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4">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4">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4">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4">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4">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4">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4">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4">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4">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4">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4">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4">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4">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4">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4">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4">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4">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4">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4">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4">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4">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4">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4">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4">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4">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4">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4">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4">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4">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4">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4">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4">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4">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4">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4">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4">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4">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4">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4">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4">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4">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4">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4">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4">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4">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4">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4">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4">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4">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4">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4">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4">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4">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L31" sqref="L31"/>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5">
        <v>0.64285714285714279</v>
      </c>
      <c r="C4" s="5">
        <v>0.64864864864864868</v>
      </c>
      <c r="D4" s="5">
        <v>0.65714285714285714</v>
      </c>
      <c r="E4" s="5">
        <v>0.67142857142857149</v>
      </c>
      <c r="F4" s="5">
        <v>0.67241379310344829</v>
      </c>
      <c r="G4" s="5">
        <v>0.69411764705882362</v>
      </c>
      <c r="H4" s="5">
        <v>0.7</v>
      </c>
      <c r="I4" s="5">
        <v>0.70588235294117641</v>
      </c>
      <c r="J4" s="5">
        <v>0.70967741935483875</v>
      </c>
      <c r="K4" s="5">
        <v>0.71666666666666667</v>
      </c>
    </row>
    <row r="5" spans="1:11" x14ac:dyDescent="0.25">
      <c r="A5" s="22" t="s">
        <v>85</v>
      </c>
      <c r="B5" s="24"/>
      <c r="C5" s="24"/>
      <c r="D5" s="24"/>
      <c r="E5" s="24">
        <v>0.18619281693140505</v>
      </c>
      <c r="F5" s="24"/>
      <c r="G5" s="24"/>
      <c r="H5" s="24"/>
      <c r="I5" s="24"/>
      <c r="J5" s="24"/>
      <c r="K5" s="25"/>
    </row>
    <row r="6" spans="1:11" x14ac:dyDescent="0.25">
      <c r="A6" s="22" t="s">
        <v>86</v>
      </c>
      <c r="B6" s="24"/>
      <c r="C6" s="24"/>
      <c r="D6" s="24"/>
      <c r="E6" s="24"/>
      <c r="F6" s="24"/>
      <c r="G6" s="24">
        <v>9.6896202583240873E-2</v>
      </c>
      <c r="H6" s="24"/>
      <c r="I6" s="24"/>
      <c r="J6" s="24"/>
      <c r="K6" s="25"/>
    </row>
    <row r="7" spans="1:11" x14ac:dyDescent="0.25">
      <c r="A7" s="22" t="s">
        <v>87</v>
      </c>
      <c r="B7" s="24"/>
      <c r="C7" s="24"/>
      <c r="D7" s="24"/>
      <c r="E7" s="24"/>
      <c r="F7" s="24"/>
      <c r="G7" s="24"/>
      <c r="H7" s="24"/>
      <c r="I7" s="24">
        <v>9.6896119578325834E-2</v>
      </c>
      <c r="J7" s="24"/>
      <c r="K7" s="25"/>
    </row>
    <row r="8" spans="1:11" x14ac:dyDescent="0.25">
      <c r="A8" s="22" t="s">
        <v>88</v>
      </c>
      <c r="B8" s="24"/>
      <c r="C8" s="24"/>
      <c r="D8" s="24"/>
      <c r="E8" s="24"/>
      <c r="F8" s="24"/>
      <c r="G8" s="24"/>
      <c r="H8" s="24"/>
      <c r="I8" s="24"/>
      <c r="J8" s="24"/>
      <c r="K8" s="25">
        <v>6.8397319470522966E-2</v>
      </c>
    </row>
    <row r="9" spans="1:11" x14ac:dyDescent="0.25">
      <c r="A9" s="22" t="s">
        <v>78</v>
      </c>
      <c r="B9" s="24"/>
      <c r="C9" s="24"/>
      <c r="D9" s="24"/>
      <c r="E9" s="24"/>
      <c r="F9" s="24">
        <v>9.8241009155398171E-2</v>
      </c>
      <c r="G9" s="24"/>
      <c r="H9" s="24"/>
      <c r="I9" s="24"/>
      <c r="J9" s="24"/>
      <c r="K9" s="25"/>
    </row>
    <row r="10" spans="1:11" x14ac:dyDescent="0.25">
      <c r="A10" s="22" t="s">
        <v>80</v>
      </c>
      <c r="B10" s="24">
        <v>4.7426625718030961E-2</v>
      </c>
      <c r="C10" s="24"/>
      <c r="D10" s="24"/>
      <c r="E10" s="24"/>
      <c r="F10" s="24"/>
      <c r="G10" s="24"/>
      <c r="H10" s="24"/>
      <c r="I10" s="24"/>
      <c r="J10" s="24"/>
      <c r="K10" s="25"/>
    </row>
    <row r="11" spans="1:11" x14ac:dyDescent="0.25">
      <c r="A11" s="22" t="s">
        <v>82</v>
      </c>
      <c r="B11" s="24"/>
      <c r="C11" s="24">
        <v>4.178071928534096E-2</v>
      </c>
      <c r="D11" s="24"/>
      <c r="E11" s="24"/>
      <c r="F11" s="24"/>
      <c r="G11" s="24"/>
      <c r="H11" s="24"/>
      <c r="I11" s="24"/>
      <c r="J11" s="24"/>
      <c r="K11" s="25"/>
    </row>
    <row r="12" spans="1:11" x14ac:dyDescent="0.25">
      <c r="A12" s="22" t="s">
        <v>76</v>
      </c>
      <c r="B12" s="24"/>
      <c r="C12" s="24"/>
      <c r="D12" s="24"/>
      <c r="E12" s="24"/>
      <c r="F12" s="24"/>
      <c r="G12" s="24"/>
      <c r="H12" s="24"/>
      <c r="I12" s="24"/>
      <c r="J12" s="24">
        <v>0.17502703482289086</v>
      </c>
      <c r="K12" s="25"/>
    </row>
    <row r="13" spans="1:11" x14ac:dyDescent="0.25">
      <c r="A13" s="22" t="s">
        <v>81</v>
      </c>
      <c r="B13" s="24"/>
      <c r="C13" s="24"/>
      <c r="D13" s="24">
        <v>0.11856673518754952</v>
      </c>
      <c r="E13" s="24"/>
      <c r="F13" s="24"/>
      <c r="G13" s="24"/>
      <c r="H13" s="24"/>
      <c r="I13" s="24"/>
      <c r="J13" s="24"/>
      <c r="K13" s="25"/>
    </row>
    <row r="14" spans="1:11" x14ac:dyDescent="0.25">
      <c r="A14" s="23" t="s">
        <v>83</v>
      </c>
      <c r="B14" s="26"/>
      <c r="C14" s="26"/>
      <c r="D14" s="26"/>
      <c r="E14" s="26"/>
      <c r="F14" s="26"/>
      <c r="G14" s="26"/>
      <c r="H14" s="26">
        <v>7.0575417267294702E-2</v>
      </c>
      <c r="I14" s="26"/>
      <c r="J14" s="26"/>
      <c r="K14" s="27"/>
    </row>
    <row r="17" spans="1:11" x14ac:dyDescent="0.25">
      <c r="A17" s="31" t="s">
        <v>58</v>
      </c>
      <c r="B17" s="32">
        <v>0.64285714285714279</v>
      </c>
      <c r="C17" s="32">
        <v>0.64864864864864868</v>
      </c>
      <c r="D17" s="32">
        <v>0.65714285714285714</v>
      </c>
      <c r="E17" s="32">
        <v>0.67142857142857149</v>
      </c>
      <c r="F17" s="32">
        <v>0.67241379310344829</v>
      </c>
      <c r="G17" s="32">
        <v>0.69411764705882362</v>
      </c>
      <c r="H17" s="32">
        <v>0.7</v>
      </c>
      <c r="I17" s="32">
        <v>0.70588235294117641</v>
      </c>
      <c r="J17" s="32">
        <v>0.70967741935483875</v>
      </c>
      <c r="K17" s="32">
        <v>0.71666666666666667</v>
      </c>
    </row>
    <row r="18" spans="1:11" x14ac:dyDescent="0.25">
      <c r="A18" s="30" t="s">
        <v>85</v>
      </c>
      <c r="B18" s="28"/>
      <c r="C18" s="28"/>
      <c r="D18" s="28"/>
      <c r="E18" s="28">
        <v>0.18619281693140505</v>
      </c>
      <c r="F18" s="28"/>
      <c r="G18" s="28"/>
      <c r="H18" s="28"/>
      <c r="I18" s="28"/>
      <c r="J18" s="28"/>
      <c r="K18" s="29"/>
    </row>
    <row r="19" spans="1:11" x14ac:dyDescent="0.25">
      <c r="A19" s="22" t="s">
        <v>86</v>
      </c>
      <c r="B19" s="24"/>
      <c r="C19" s="24"/>
      <c r="D19" s="24"/>
      <c r="E19" s="24"/>
      <c r="F19" s="24"/>
      <c r="G19" s="24">
        <v>9.6896202583240873E-2</v>
      </c>
      <c r="H19" s="24"/>
      <c r="I19" s="24"/>
      <c r="J19" s="24"/>
      <c r="K19" s="25"/>
    </row>
    <row r="20" spans="1:11" x14ac:dyDescent="0.25">
      <c r="A20" s="22" t="s">
        <v>87</v>
      </c>
      <c r="B20" s="24"/>
      <c r="C20" s="24"/>
      <c r="D20" s="24"/>
      <c r="E20" s="24"/>
      <c r="F20" s="24"/>
      <c r="G20" s="24"/>
      <c r="H20" s="24"/>
      <c r="I20" s="24">
        <v>9.6896119578325834E-2</v>
      </c>
      <c r="J20" s="24"/>
      <c r="K20" s="25"/>
    </row>
    <row r="21" spans="1:11" x14ac:dyDescent="0.25">
      <c r="A21" s="22" t="s">
        <v>88</v>
      </c>
      <c r="B21" s="24"/>
      <c r="C21" s="24"/>
      <c r="D21" s="24"/>
      <c r="E21" s="24"/>
      <c r="F21" s="24"/>
      <c r="G21" s="24"/>
      <c r="H21" s="24"/>
      <c r="I21" s="24"/>
      <c r="J21" s="24"/>
      <c r="K21" s="25">
        <v>6.8397319470522966E-2</v>
      </c>
    </row>
    <row r="22" spans="1:11" x14ac:dyDescent="0.25">
      <c r="A22" s="22" t="s">
        <v>78</v>
      </c>
      <c r="B22" s="24"/>
      <c r="C22" s="24"/>
      <c r="D22" s="24"/>
      <c r="E22" s="24"/>
      <c r="F22" s="24">
        <v>9.8241009155398171E-2</v>
      </c>
      <c r="G22" s="24"/>
      <c r="H22" s="24"/>
      <c r="I22" s="24"/>
      <c r="J22" s="24"/>
      <c r="K22" s="25"/>
    </row>
    <row r="23" spans="1:11" x14ac:dyDescent="0.25">
      <c r="A23" s="22" t="s">
        <v>80</v>
      </c>
      <c r="B23" s="24">
        <v>4.7426625718030961E-2</v>
      </c>
      <c r="C23" s="24"/>
      <c r="D23" s="24"/>
      <c r="E23" s="24"/>
      <c r="F23" s="24"/>
      <c r="G23" s="24"/>
      <c r="H23" s="24"/>
      <c r="I23" s="24"/>
      <c r="J23" s="24"/>
      <c r="K23" s="25"/>
    </row>
    <row r="24" spans="1:11" x14ac:dyDescent="0.25">
      <c r="A24" s="22" t="s">
        <v>82</v>
      </c>
      <c r="B24" s="24"/>
      <c r="C24" s="24">
        <v>4.178071928534096E-2</v>
      </c>
      <c r="D24" s="24"/>
      <c r="E24" s="24"/>
      <c r="F24" s="24"/>
      <c r="G24" s="24"/>
      <c r="H24" s="24"/>
      <c r="I24" s="24"/>
      <c r="J24" s="24"/>
      <c r="K24" s="25"/>
    </row>
    <row r="25" spans="1:11" x14ac:dyDescent="0.25">
      <c r="A25" s="22" t="s">
        <v>76</v>
      </c>
      <c r="B25" s="24"/>
      <c r="C25" s="24"/>
      <c r="D25" s="24"/>
      <c r="E25" s="24"/>
      <c r="F25" s="24"/>
      <c r="G25" s="24"/>
      <c r="H25" s="24"/>
      <c r="I25" s="24"/>
      <c r="J25" s="24">
        <v>0.17502703482289086</v>
      </c>
      <c r="K25" s="25"/>
    </row>
    <row r="26" spans="1:11" x14ac:dyDescent="0.25">
      <c r="A26" s="22" t="s">
        <v>81</v>
      </c>
      <c r="B26" s="24"/>
      <c r="C26" s="24"/>
      <c r="D26" s="24">
        <v>0.11856673518754952</v>
      </c>
      <c r="E26" s="24"/>
      <c r="F26" s="24"/>
      <c r="G26" s="24"/>
      <c r="H26" s="24"/>
      <c r="I26" s="24"/>
      <c r="J26" s="24"/>
      <c r="K26" s="25"/>
    </row>
    <row r="27" spans="1:11" x14ac:dyDescent="0.25">
      <c r="A27" s="23" t="s">
        <v>83</v>
      </c>
      <c r="B27" s="26"/>
      <c r="C27" s="26"/>
      <c r="D27" s="26"/>
      <c r="E27" s="26"/>
      <c r="F27" s="26"/>
      <c r="G27" s="26"/>
      <c r="H27" s="26">
        <v>7.0575417267294702E-2</v>
      </c>
      <c r="I27" s="26"/>
      <c r="J27" s="26"/>
      <c r="K27" s="2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K2" sqref="K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6" bestFit="1" customWidth="1"/>
    <col min="6" max="6" width="12.28515625" style="6" bestFit="1" customWidth="1"/>
    <col min="7" max="7" width="9.140625" style="6" bestFit="1" customWidth="1"/>
    <col min="8" max="8" width="15.7109375" style="7"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6" t="s">
        <v>71</v>
      </c>
      <c r="F1" s="6" t="s">
        <v>72</v>
      </c>
      <c r="G1" s="6" t="s">
        <v>73</v>
      </c>
      <c r="H1" s="7" t="s">
        <v>74</v>
      </c>
      <c r="I1" t="s">
        <v>120</v>
      </c>
      <c r="J1" t="s">
        <v>94</v>
      </c>
      <c r="K1" t="s">
        <v>90</v>
      </c>
      <c r="L1" t="s">
        <v>91</v>
      </c>
      <c r="M1" t="s">
        <v>92</v>
      </c>
    </row>
    <row r="2" spans="1:13" x14ac:dyDescent="0.25">
      <c r="A2" t="s">
        <v>57</v>
      </c>
      <c r="B2" t="s">
        <v>75</v>
      </c>
      <c r="C2">
        <v>100</v>
      </c>
      <c r="D2" t="s">
        <v>76</v>
      </c>
      <c r="E2" s="10">
        <v>5</v>
      </c>
      <c r="F2" s="10">
        <v>3.1</v>
      </c>
      <c r="G2" s="10">
        <v>0.9</v>
      </c>
      <c r="H2" s="7">
        <v>1156348</v>
      </c>
      <c r="I2" s="4">
        <f>internal_sales_data[[#This Row],[Volume 2022]]*internal_sales_data[[#This Row],[Net Price]]</f>
        <v>3584678.8000000003</v>
      </c>
      <c r="J2" s="10">
        <f>internal_sales_data[[#This Row],[Net Price]]-internal_sales_data[[#This Row],[COGS]]</f>
        <v>2.2000000000000002</v>
      </c>
      <c r="K2" s="4">
        <f>internal_sales_data[[#This Row],[Gross Profit per unit]]*internal_sales_data[[#This Row],[Volume 2022]]</f>
        <v>2543965.6</v>
      </c>
      <c r="L2" s="12">
        <f>internal_sales_data[[#This Row],[Gross Profit per unit]]/internal_sales_data[[#This Row],[Net Price]]</f>
        <v>0.70967741935483875</v>
      </c>
      <c r="M2" s="12">
        <f>internal_sales_data[[#This Row],[Net Sales 2022]]/internal_sales_data[[#Totals],[Net Sales 2022]]</f>
        <v>0.17502703482289086</v>
      </c>
    </row>
    <row r="3" spans="1:13" x14ac:dyDescent="0.25">
      <c r="A3" t="s">
        <v>57</v>
      </c>
      <c r="B3" t="s">
        <v>77</v>
      </c>
      <c r="C3">
        <v>100</v>
      </c>
      <c r="D3" t="s">
        <v>78</v>
      </c>
      <c r="E3" s="10">
        <v>5</v>
      </c>
      <c r="F3" s="10">
        <v>2.9</v>
      </c>
      <c r="G3" s="10">
        <v>0.95</v>
      </c>
      <c r="H3" s="7">
        <v>693809</v>
      </c>
      <c r="I3" s="4">
        <f>internal_sales_data[[#This Row],[Volume 2022]]*internal_sales_data[[#This Row],[Net Price]]</f>
        <v>2012046.0999999999</v>
      </c>
      <c r="J3" s="10">
        <f>internal_sales_data[[#This Row],[Net Price]]-internal_sales_data[[#This Row],[COGS]]</f>
        <v>1.95</v>
      </c>
      <c r="K3" s="4">
        <f>internal_sales_data[[#This Row],[Gross Profit per unit]]*internal_sales_data[[#This Row],[Volume 2022]]</f>
        <v>1352927.55</v>
      </c>
      <c r="L3" s="12">
        <f>internal_sales_data[[#This Row],[Gross Profit per unit]]/internal_sales_data[[#This Row],[Net Price]]</f>
        <v>0.67241379310344829</v>
      </c>
      <c r="M3" s="12">
        <f>internal_sales_data[[#This Row],[Net Sales 2022]]/internal_sales_data[[#Totals],[Net Sales 2022]]</f>
        <v>9.8241009155398171E-2</v>
      </c>
    </row>
    <row r="4" spans="1:13" x14ac:dyDescent="0.25">
      <c r="A4" t="s">
        <v>57</v>
      </c>
      <c r="B4" t="s">
        <v>79</v>
      </c>
      <c r="C4">
        <v>100</v>
      </c>
      <c r="D4" t="s">
        <v>80</v>
      </c>
      <c r="E4" s="10">
        <v>5</v>
      </c>
      <c r="F4" s="10">
        <v>2.8</v>
      </c>
      <c r="G4" s="10">
        <v>1</v>
      </c>
      <c r="H4" s="7">
        <v>346904</v>
      </c>
      <c r="I4" s="4">
        <f>internal_sales_data[[#This Row],[Volume 2022]]*internal_sales_data[[#This Row],[Net Price]]</f>
        <v>971331.2</v>
      </c>
      <c r="J4" s="10">
        <f>internal_sales_data[[#This Row],[Net Price]]-internal_sales_data[[#This Row],[COGS]]</f>
        <v>1.7999999999999998</v>
      </c>
      <c r="K4" s="4">
        <f>internal_sales_data[[#This Row],[Gross Profit per unit]]*internal_sales_data[[#This Row],[Volume 2022]]</f>
        <v>624427.19999999995</v>
      </c>
      <c r="L4" s="12">
        <f>internal_sales_data[[#This Row],[Gross Profit per unit]]/internal_sales_data[[#This Row],[Net Price]]</f>
        <v>0.64285714285714279</v>
      </c>
      <c r="M4" s="12">
        <f>internal_sales_data[[#This Row],[Net Sales 2022]]/internal_sales_data[[#Totals],[Net Sales 2022]]</f>
        <v>4.7426625718030961E-2</v>
      </c>
    </row>
    <row r="5" spans="1:13" x14ac:dyDescent="0.25">
      <c r="A5" t="s">
        <v>57</v>
      </c>
      <c r="B5" t="s">
        <v>75</v>
      </c>
      <c r="C5">
        <v>150</v>
      </c>
      <c r="D5" t="s">
        <v>81</v>
      </c>
      <c r="E5" s="10">
        <v>7</v>
      </c>
      <c r="F5" s="10">
        <v>3.5</v>
      </c>
      <c r="G5" s="10">
        <v>1.2</v>
      </c>
      <c r="H5" s="7">
        <v>693809</v>
      </c>
      <c r="I5" s="4">
        <f>internal_sales_data[[#This Row],[Volume 2022]]*internal_sales_data[[#This Row],[Net Price]]</f>
        <v>2428331.5</v>
      </c>
      <c r="J5" s="10">
        <f>internal_sales_data[[#This Row],[Net Price]]-internal_sales_data[[#This Row],[COGS]]</f>
        <v>2.2999999999999998</v>
      </c>
      <c r="K5" s="4">
        <f>internal_sales_data[[#This Row],[Gross Profit per unit]]*internal_sales_data[[#This Row],[Volume 2022]]</f>
        <v>1595760.7</v>
      </c>
      <c r="L5" s="12">
        <f>internal_sales_data[[#This Row],[Gross Profit per unit]]/internal_sales_data[[#This Row],[Net Price]]</f>
        <v>0.65714285714285714</v>
      </c>
      <c r="M5" s="12">
        <f>internal_sales_data[[#This Row],[Net Sales 2022]]/internal_sales_data[[#Totals],[Net Sales 2022]]</f>
        <v>0.11856673518754952</v>
      </c>
    </row>
    <row r="6" spans="1:13" x14ac:dyDescent="0.25">
      <c r="A6" t="s">
        <v>57</v>
      </c>
      <c r="B6" t="s">
        <v>79</v>
      </c>
      <c r="C6">
        <v>150</v>
      </c>
      <c r="D6" t="s">
        <v>82</v>
      </c>
      <c r="E6" s="10">
        <v>7.25</v>
      </c>
      <c r="F6" s="10">
        <v>3.7</v>
      </c>
      <c r="G6" s="10">
        <v>1.3</v>
      </c>
      <c r="H6" s="7">
        <v>231270</v>
      </c>
      <c r="I6" s="4">
        <f>internal_sales_data[[#This Row],[Volume 2022]]*internal_sales_data[[#This Row],[Net Price]]</f>
        <v>855699</v>
      </c>
      <c r="J6" s="10">
        <f>internal_sales_data[[#This Row],[Net Price]]-internal_sales_data[[#This Row],[COGS]]</f>
        <v>2.4000000000000004</v>
      </c>
      <c r="K6" s="4">
        <f>internal_sales_data[[#This Row],[Gross Profit per unit]]*internal_sales_data[[#This Row],[Volume 2022]]</f>
        <v>555048.00000000012</v>
      </c>
      <c r="L6" s="12">
        <f>internal_sales_data[[#This Row],[Gross Profit per unit]]/internal_sales_data[[#This Row],[Net Price]]</f>
        <v>0.64864864864864868</v>
      </c>
      <c r="M6" s="12">
        <f>internal_sales_data[[#This Row],[Net Sales 2022]]/internal_sales_data[[#Totals],[Net Sales 2022]]</f>
        <v>4.178071928534096E-2</v>
      </c>
    </row>
    <row r="7" spans="1:13" x14ac:dyDescent="0.25">
      <c r="A7" t="s">
        <v>57</v>
      </c>
      <c r="B7" t="s">
        <v>75</v>
      </c>
      <c r="C7">
        <v>200</v>
      </c>
      <c r="D7" t="s">
        <v>83</v>
      </c>
      <c r="E7" s="10">
        <v>9</v>
      </c>
      <c r="F7" s="10">
        <v>5</v>
      </c>
      <c r="G7" s="10">
        <v>1.5</v>
      </c>
      <c r="H7" s="7">
        <v>289087</v>
      </c>
      <c r="I7" s="4">
        <f>internal_sales_data[[#This Row],[Volume 2022]]*internal_sales_data[[#This Row],[Net Price]]</f>
        <v>1445435</v>
      </c>
      <c r="J7" s="10">
        <f>internal_sales_data[[#This Row],[Net Price]]-internal_sales_data[[#This Row],[COGS]]</f>
        <v>3.5</v>
      </c>
      <c r="K7" s="4">
        <f>internal_sales_data[[#This Row],[Gross Profit per unit]]*internal_sales_data[[#This Row],[Volume 2022]]</f>
        <v>1011804.5</v>
      </c>
      <c r="L7" s="12">
        <f>internal_sales_data[[#This Row],[Gross Profit per unit]]/internal_sales_data[[#This Row],[Net Price]]</f>
        <v>0.7</v>
      </c>
      <c r="M7" s="12">
        <f>internal_sales_data[[#This Row],[Net Sales 2022]]/internal_sales_data[[#Totals],[Net Sales 2022]]</f>
        <v>7.0575417267294702E-2</v>
      </c>
    </row>
    <row r="8" spans="1:13" x14ac:dyDescent="0.25">
      <c r="A8" t="s">
        <v>22</v>
      </c>
      <c r="B8" t="s">
        <v>84</v>
      </c>
      <c r="C8">
        <v>100</v>
      </c>
      <c r="D8" t="s">
        <v>85</v>
      </c>
      <c r="E8" s="10">
        <v>6</v>
      </c>
      <c r="F8" s="10">
        <v>3.5</v>
      </c>
      <c r="G8" s="10">
        <v>1.1499999999999999</v>
      </c>
      <c r="H8" s="7">
        <v>1089532</v>
      </c>
      <c r="I8" s="4">
        <f>internal_sales_data[[#This Row],[Volume 2022]]*internal_sales_data[[#This Row],[Net Price]]</f>
        <v>3813362</v>
      </c>
      <c r="J8" s="10">
        <f>internal_sales_data[[#This Row],[Net Price]]-internal_sales_data[[#This Row],[COGS]]</f>
        <v>2.35</v>
      </c>
      <c r="K8" s="4">
        <f>internal_sales_data[[#This Row],[Gross Profit per unit]]*internal_sales_data[[#This Row],[Volume 2022]]</f>
        <v>2560400.2000000002</v>
      </c>
      <c r="L8" s="12">
        <f>internal_sales_data[[#This Row],[Gross Profit per unit]]/internal_sales_data[[#This Row],[Net Price]]</f>
        <v>0.67142857142857149</v>
      </c>
      <c r="M8" s="12">
        <f>internal_sales_data[[#This Row],[Net Sales 2022]]/internal_sales_data[[#Totals],[Net Sales 2022]]</f>
        <v>0.18619281693140505</v>
      </c>
    </row>
    <row r="9" spans="1:13" x14ac:dyDescent="0.25">
      <c r="A9" t="s">
        <v>22</v>
      </c>
      <c r="B9" t="s">
        <v>84</v>
      </c>
      <c r="C9">
        <v>125</v>
      </c>
      <c r="D9" t="s">
        <v>86</v>
      </c>
      <c r="E9" s="10">
        <v>7</v>
      </c>
      <c r="F9" s="10">
        <v>4.25</v>
      </c>
      <c r="G9" s="10">
        <v>1.3</v>
      </c>
      <c r="H9" s="7">
        <v>466942</v>
      </c>
      <c r="I9" s="4">
        <f>internal_sales_data[[#This Row],[Volume 2022]]*internal_sales_data[[#This Row],[Net Price]]</f>
        <v>1984503.5</v>
      </c>
      <c r="J9" s="10">
        <f>internal_sales_data[[#This Row],[Net Price]]-internal_sales_data[[#This Row],[COGS]]</f>
        <v>2.95</v>
      </c>
      <c r="K9" s="4">
        <f>internal_sales_data[[#This Row],[Gross Profit per unit]]*internal_sales_data[[#This Row],[Volume 2022]]</f>
        <v>1377478.9000000001</v>
      </c>
      <c r="L9" s="12">
        <f>internal_sales_data[[#This Row],[Gross Profit per unit]]/internal_sales_data[[#This Row],[Net Price]]</f>
        <v>0.69411764705882362</v>
      </c>
      <c r="M9" s="12">
        <f>internal_sales_data[[#This Row],[Net Sales 2022]]/internal_sales_data[[#Totals],[Net Sales 2022]]</f>
        <v>9.6896202583240873E-2</v>
      </c>
    </row>
    <row r="10" spans="1:13" x14ac:dyDescent="0.25">
      <c r="A10" t="s">
        <v>22</v>
      </c>
      <c r="B10" t="s">
        <v>84</v>
      </c>
      <c r="C10">
        <v>150</v>
      </c>
      <c r="D10" t="s">
        <v>87</v>
      </c>
      <c r="E10" s="10">
        <v>8</v>
      </c>
      <c r="F10" s="10">
        <v>5.0999999999999996</v>
      </c>
      <c r="G10" s="10">
        <v>1.5</v>
      </c>
      <c r="H10" s="7">
        <v>389118</v>
      </c>
      <c r="I10" s="4">
        <f>internal_sales_data[[#This Row],[Volume 2022]]*internal_sales_data[[#This Row],[Net Price]]</f>
        <v>1984501.7999999998</v>
      </c>
      <c r="J10" s="10">
        <f>internal_sales_data[[#This Row],[Net Price]]-internal_sales_data[[#This Row],[COGS]]</f>
        <v>3.5999999999999996</v>
      </c>
      <c r="K10" s="4">
        <f>internal_sales_data[[#This Row],[Gross Profit per unit]]*internal_sales_data[[#This Row],[Volume 2022]]</f>
        <v>1400824.7999999998</v>
      </c>
      <c r="L10" s="12">
        <f>internal_sales_data[[#This Row],[Gross Profit per unit]]/internal_sales_data[[#This Row],[Net Price]]</f>
        <v>0.70588235294117641</v>
      </c>
      <c r="M10" s="12">
        <f>internal_sales_data[[#This Row],[Net Sales 2022]]/internal_sales_data[[#Totals],[Net Sales 2022]]</f>
        <v>9.6896119578325834E-2</v>
      </c>
    </row>
    <row r="11" spans="1:13" x14ac:dyDescent="0.25">
      <c r="A11" t="s">
        <v>22</v>
      </c>
      <c r="B11" t="s">
        <v>84</v>
      </c>
      <c r="C11">
        <v>200</v>
      </c>
      <c r="D11" t="s">
        <v>88</v>
      </c>
      <c r="E11" s="10">
        <v>10</v>
      </c>
      <c r="F11" s="10">
        <v>6</v>
      </c>
      <c r="G11" s="10">
        <v>1.7</v>
      </c>
      <c r="H11" s="7">
        <v>233471</v>
      </c>
      <c r="I11" s="4">
        <f>internal_sales_data[[#This Row],[Volume 2022]]*internal_sales_data[[#This Row],[Net Price]]</f>
        <v>1400826</v>
      </c>
      <c r="J11" s="10">
        <f>internal_sales_data[[#This Row],[Net Price]]-internal_sales_data[[#This Row],[COGS]]</f>
        <v>4.3</v>
      </c>
      <c r="K11" s="4">
        <f>internal_sales_data[[#This Row],[Gross Profit per unit]]*internal_sales_data[[#This Row],[Volume 2022]]</f>
        <v>1003925.2999999999</v>
      </c>
      <c r="L11" s="12">
        <f>internal_sales_data[[#This Row],[Gross Profit per unit]]/internal_sales_data[[#This Row],[Net Price]]</f>
        <v>0.71666666666666667</v>
      </c>
      <c r="M11" s="12">
        <f>internal_sales_data[[#This Row],[Net Sales 2022]]/internal_sales_data[[#Totals],[Net Sales 2022]]</f>
        <v>6.8397319470522966E-2</v>
      </c>
    </row>
    <row r="12" spans="1:13" x14ac:dyDescent="0.25">
      <c r="A12" t="s">
        <v>89</v>
      </c>
      <c r="E12"/>
      <c r="F12"/>
      <c r="G12"/>
      <c r="H12" s="8">
        <f>SUBTOTAL(109,internal_sales_data[Volume 2022])</f>
        <v>5590290</v>
      </c>
      <c r="I12" s="1">
        <f>SUBTOTAL(109,internal_sales_data[Net Sales 2022])</f>
        <v>20480714.900000002</v>
      </c>
      <c r="J12" s="11"/>
      <c r="K12" s="1">
        <f>SUBTOTAL(109,internal_sales_data[Gross Profit per product])</f>
        <v>14026562.75</v>
      </c>
      <c r="L12" s="13">
        <f>internal_sales_data[[#Totals],[Gross Profit per product]]/internal_sales_data[[#Totals],[Net Sales 2022]]</f>
        <v>0.68486685247495915</v>
      </c>
    </row>
    <row r="13" spans="1:13" x14ac:dyDescent="0.25">
      <c r="I13" s="9"/>
    </row>
    <row r="23" spans="9:9" x14ac:dyDescent="0.25">
      <c r="I23" s="1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E8" sqref="E8"/>
    </sheetView>
  </sheetViews>
  <sheetFormatPr defaultRowHeight="15" x14ac:dyDescent="0.25"/>
  <cols>
    <col min="1" max="1" width="39.710937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34" t="s">
        <v>95</v>
      </c>
      <c r="B3" s="34" t="s">
        <v>60</v>
      </c>
      <c r="C3" s="35"/>
    </row>
    <row r="4" spans="1:3" x14ac:dyDescent="0.25">
      <c r="A4" s="34" t="s">
        <v>58</v>
      </c>
      <c r="B4" s="37">
        <v>2018</v>
      </c>
      <c r="C4" s="35">
        <v>2022</v>
      </c>
    </row>
    <row r="5" spans="1:3" x14ac:dyDescent="0.25">
      <c r="A5" s="40" t="s">
        <v>8</v>
      </c>
      <c r="B5" s="17"/>
      <c r="C5" s="25">
        <v>0.11527757342129488</v>
      </c>
    </row>
    <row r="6" spans="1:3" x14ac:dyDescent="0.25">
      <c r="A6" s="40" t="s">
        <v>25</v>
      </c>
      <c r="B6" s="17"/>
      <c r="C6" s="25">
        <v>-0.35222595079829983</v>
      </c>
    </row>
    <row r="7" spans="1:3" x14ac:dyDescent="0.25">
      <c r="A7" s="40" t="s">
        <v>18</v>
      </c>
      <c r="B7" s="17"/>
      <c r="C7" s="25">
        <v>0.19140557343275691</v>
      </c>
    </row>
    <row r="8" spans="1:3" x14ac:dyDescent="0.25">
      <c r="A8" s="40" t="s">
        <v>30</v>
      </c>
      <c r="B8" s="17"/>
      <c r="C8" s="25">
        <v>2.7581984297070781</v>
      </c>
    </row>
    <row r="9" spans="1:3" x14ac:dyDescent="0.25">
      <c r="A9" s="41" t="s">
        <v>55</v>
      </c>
      <c r="B9" s="19"/>
      <c r="C9" s="27">
        <v>-0.11045145375336446</v>
      </c>
    </row>
    <row r="12" spans="1:3" x14ac:dyDescent="0.25">
      <c r="A12" s="2" t="s">
        <v>4</v>
      </c>
      <c r="B12" s="33">
        <v>2023</v>
      </c>
    </row>
    <row r="13" spans="1:3" x14ac:dyDescent="0.25">
      <c r="A13" s="2" t="s">
        <v>5</v>
      </c>
      <c r="B13" s="33">
        <v>3</v>
      </c>
    </row>
    <row r="15" spans="1:3" x14ac:dyDescent="0.25">
      <c r="A15" s="34" t="s">
        <v>58</v>
      </c>
      <c r="B15" s="35" t="s">
        <v>97</v>
      </c>
    </row>
    <row r="16" spans="1:3" x14ac:dyDescent="0.25">
      <c r="A16" s="16" t="s">
        <v>30</v>
      </c>
      <c r="B16" s="36">
        <v>850749</v>
      </c>
    </row>
    <row r="17" spans="1:2" x14ac:dyDescent="0.25">
      <c r="A17" s="37"/>
      <c r="B17" s="35"/>
    </row>
    <row r="18" spans="1:2" x14ac:dyDescent="0.25">
      <c r="A18" s="38" t="s">
        <v>96</v>
      </c>
      <c r="B18" s="3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H2" sqref="H2"/>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2">
        <v>0.1</v>
      </c>
      <c r="C2" s="7">
        <f>new_product_launch[[#This Row],[Estimated Unit Market Share]]*'New Category Opportunity'!$B$18</f>
        <v>102089.88</v>
      </c>
      <c r="D2" s="11">
        <v>3.5</v>
      </c>
      <c r="E2" s="1">
        <f>new_product_launch[[#This Row],[Net Price]]*new_product_launch[[#This Row],[Estimated units sold 2024]]</f>
        <v>357314.58</v>
      </c>
      <c r="F2" s="11">
        <v>1.35</v>
      </c>
      <c r="G2" s="11">
        <f>new_product_launch[[#This Row],[Net Price]]-new_product_launch[[#This Row],[COGS]]</f>
        <v>2.15</v>
      </c>
      <c r="H2" s="7">
        <f>new_product_launch[[#This Row],[Gross Profit per unit]]*new_product_launch[[#This Row],[Estimated units sold 2024]]</f>
        <v>219493.242</v>
      </c>
      <c r="I2" s="12">
        <f>new_product_launch[[#This Row],[Gross Profit per product]]/new_product_launch[[#This Row],[Net Sales]]</f>
        <v>0.61428571428571421</v>
      </c>
    </row>
    <row r="3" spans="1:9" x14ac:dyDescent="0.25">
      <c r="A3" t="s">
        <v>125</v>
      </c>
      <c r="B3" s="12">
        <v>0.12</v>
      </c>
      <c r="C3" s="7">
        <f>new_product_launch[[#This Row],[Estimated Unit Market Share]]*'New Category Opportunity'!$B$18</f>
        <v>122507.85599999999</v>
      </c>
      <c r="D3" s="11">
        <v>2.75</v>
      </c>
      <c r="E3" s="1">
        <f>new_product_launch[[#This Row],[Net Price]]*new_product_launch[[#This Row],[Estimated units sold 2024]]</f>
        <v>336896.60399999993</v>
      </c>
      <c r="F3" s="11">
        <v>0.9</v>
      </c>
      <c r="G3" s="11">
        <f>new_product_launch[[#This Row],[Net Price]]-new_product_launch[[#This Row],[COGS]]</f>
        <v>1.85</v>
      </c>
      <c r="H3" s="7">
        <f>new_product_launch[[#This Row],[Gross Profit per unit]]*new_product_launch[[#This Row],[Estimated units sold 2024]]</f>
        <v>226639.5336</v>
      </c>
      <c r="I3" s="12">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K4" sqref="K4"/>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6" bestFit="1" customWidth="1"/>
    <col min="6" max="6" width="12.28515625" style="6" bestFit="1" customWidth="1"/>
    <col min="7" max="7" width="9.140625" style="6" bestFit="1" customWidth="1"/>
    <col min="8" max="8" width="15.7109375" style="7" bestFit="1" customWidth="1"/>
    <col min="9" max="9" width="16.140625" bestFit="1" customWidth="1"/>
    <col min="10" max="10" width="21.42578125" bestFit="1" customWidth="1"/>
    <col min="11" max="11" width="24.85546875" bestFit="1" customWidth="1"/>
    <col min="12" max="12" width="15" bestFit="1" customWidth="1"/>
    <col min="13" max="13" width="14.28515625" bestFit="1" customWidth="1"/>
  </cols>
  <sheetData>
    <row r="1" spans="1:13" x14ac:dyDescent="0.25">
      <c r="A1" t="s">
        <v>2</v>
      </c>
      <c r="B1" t="s">
        <v>68</v>
      </c>
      <c r="C1" t="s">
        <v>69</v>
      </c>
      <c r="D1" t="s">
        <v>70</v>
      </c>
      <c r="E1" s="6" t="s">
        <v>71</v>
      </c>
      <c r="F1" s="6" t="s">
        <v>72</v>
      </c>
      <c r="G1" s="6" t="s">
        <v>73</v>
      </c>
      <c r="H1" s="7" t="s">
        <v>74</v>
      </c>
      <c r="I1" t="s">
        <v>120</v>
      </c>
      <c r="J1" t="s">
        <v>94</v>
      </c>
      <c r="K1" t="s">
        <v>90</v>
      </c>
      <c r="L1" t="s">
        <v>91</v>
      </c>
      <c r="M1" t="s">
        <v>102</v>
      </c>
    </row>
    <row r="2" spans="1:13" x14ac:dyDescent="0.25">
      <c r="A2" t="s">
        <v>57</v>
      </c>
      <c r="B2" t="s">
        <v>75</v>
      </c>
      <c r="C2">
        <v>100</v>
      </c>
      <c r="D2" t="s">
        <v>76</v>
      </c>
      <c r="E2" s="10">
        <v>5</v>
      </c>
      <c r="F2" s="10">
        <v>3.1</v>
      </c>
      <c r="G2" s="10">
        <v>0.9</v>
      </c>
      <c r="H2" s="7">
        <v>1156348</v>
      </c>
      <c r="I2" s="4">
        <f>internal_sales_data5[[#This Row],[Volume 2022]]*internal_sales_data5[[#This Row],[Net Price]]</f>
        <v>3584678.8000000003</v>
      </c>
      <c r="J2" s="10">
        <f>internal_sales_data5[[#This Row],[Net Price]]-internal_sales_data5[[#This Row],[COGS]]</f>
        <v>2.2000000000000002</v>
      </c>
      <c r="K2" s="4">
        <f>internal_sales_data5[[#This Row],[Gross Profit per unit]]*internal_sales_data5[[#This Row],[Volume 2022]]</f>
        <v>2543965.6</v>
      </c>
      <c r="L2" s="12">
        <f>internal_sales_data5[[#This Row],[Gross Profit per unit]]/internal_sales_data5[[#This Row],[Net Price]]</f>
        <v>0.70967741935483875</v>
      </c>
      <c r="M2" s="14">
        <f>internal_sales_data5[[#This Row],[Retail Price]]/internal_sales_data5[[#This Row],[Pack Size (ml)]]</f>
        <v>0.05</v>
      </c>
    </row>
    <row r="3" spans="1:13" x14ac:dyDescent="0.25">
      <c r="A3" t="s">
        <v>57</v>
      </c>
      <c r="B3" t="s">
        <v>77</v>
      </c>
      <c r="C3">
        <v>100</v>
      </c>
      <c r="D3" t="s">
        <v>78</v>
      </c>
      <c r="E3" s="10">
        <v>5</v>
      </c>
      <c r="F3" s="10">
        <v>2.9</v>
      </c>
      <c r="G3" s="10">
        <v>0.95</v>
      </c>
      <c r="H3" s="7">
        <v>693809</v>
      </c>
      <c r="I3" s="4">
        <f>internal_sales_data5[[#This Row],[Volume 2022]]*internal_sales_data5[[#This Row],[Net Price]]</f>
        <v>2012046.0999999999</v>
      </c>
      <c r="J3" s="10">
        <f>internal_sales_data5[[#This Row],[Net Price]]-internal_sales_data5[[#This Row],[COGS]]</f>
        <v>1.95</v>
      </c>
      <c r="K3" s="4">
        <f>internal_sales_data5[[#This Row],[Gross Profit per unit]]*internal_sales_data5[[#This Row],[Volume 2022]]</f>
        <v>1352927.55</v>
      </c>
      <c r="L3" s="12">
        <f>internal_sales_data5[[#This Row],[Gross Profit per unit]]/internal_sales_data5[[#This Row],[Net Price]]</f>
        <v>0.67241379310344829</v>
      </c>
      <c r="M3" s="14">
        <f>internal_sales_data5[[#This Row],[Retail Price]]/internal_sales_data5[[#This Row],[Pack Size (ml)]]</f>
        <v>0.05</v>
      </c>
    </row>
    <row r="4" spans="1:13" x14ac:dyDescent="0.25">
      <c r="A4" t="s">
        <v>57</v>
      </c>
      <c r="B4" t="s">
        <v>79</v>
      </c>
      <c r="C4">
        <v>100</v>
      </c>
      <c r="D4" t="s">
        <v>80</v>
      </c>
      <c r="E4" s="10">
        <v>5</v>
      </c>
      <c r="F4" s="10">
        <v>2.8</v>
      </c>
      <c r="G4" s="10">
        <v>1</v>
      </c>
      <c r="H4" s="7">
        <v>346904</v>
      </c>
      <c r="I4" s="4">
        <f>internal_sales_data5[[#This Row],[Volume 2022]]*internal_sales_data5[[#This Row],[Net Price]]</f>
        <v>971331.2</v>
      </c>
      <c r="J4" s="10">
        <f>internal_sales_data5[[#This Row],[Net Price]]-internal_sales_data5[[#This Row],[COGS]]</f>
        <v>1.7999999999999998</v>
      </c>
      <c r="K4" s="4">
        <f>internal_sales_data5[[#This Row],[Gross Profit per unit]]*internal_sales_data5[[#This Row],[Volume 2022]]</f>
        <v>624427.19999999995</v>
      </c>
      <c r="L4" s="12">
        <f>internal_sales_data5[[#This Row],[Gross Profit per unit]]/internal_sales_data5[[#This Row],[Net Price]]</f>
        <v>0.64285714285714279</v>
      </c>
      <c r="M4" s="14">
        <f>internal_sales_data5[[#This Row],[Retail Price]]/internal_sales_data5[[#This Row],[Pack Size (ml)]]</f>
        <v>0.05</v>
      </c>
    </row>
    <row r="5" spans="1:13" x14ac:dyDescent="0.25">
      <c r="A5" t="s">
        <v>57</v>
      </c>
      <c r="B5" t="s">
        <v>75</v>
      </c>
      <c r="C5">
        <v>150</v>
      </c>
      <c r="D5" t="s">
        <v>81</v>
      </c>
      <c r="E5" s="10">
        <v>7</v>
      </c>
      <c r="F5" s="10">
        <v>3.5</v>
      </c>
      <c r="G5" s="10">
        <v>1.2</v>
      </c>
      <c r="H5" s="7">
        <v>693809</v>
      </c>
      <c r="I5" s="4">
        <f>internal_sales_data5[[#This Row],[Volume 2022]]*internal_sales_data5[[#This Row],[Net Price]]</f>
        <v>2428331.5</v>
      </c>
      <c r="J5" s="10">
        <f>internal_sales_data5[[#This Row],[Net Price]]-internal_sales_data5[[#This Row],[COGS]]</f>
        <v>2.2999999999999998</v>
      </c>
      <c r="K5" s="4">
        <f>internal_sales_data5[[#This Row],[Gross Profit per unit]]*internal_sales_data5[[#This Row],[Volume 2022]]</f>
        <v>1595760.7</v>
      </c>
      <c r="L5" s="12">
        <f>internal_sales_data5[[#This Row],[Gross Profit per unit]]/internal_sales_data5[[#This Row],[Net Price]]</f>
        <v>0.65714285714285714</v>
      </c>
      <c r="M5" s="14">
        <f>internal_sales_data5[[#This Row],[Retail Price]]/internal_sales_data5[[#This Row],[Pack Size (ml)]]</f>
        <v>4.6666666666666669E-2</v>
      </c>
    </row>
    <row r="6" spans="1:13" x14ac:dyDescent="0.25">
      <c r="A6" t="s">
        <v>57</v>
      </c>
      <c r="B6" t="s">
        <v>79</v>
      </c>
      <c r="C6">
        <v>150</v>
      </c>
      <c r="D6" t="s">
        <v>82</v>
      </c>
      <c r="E6" s="10">
        <v>7.25</v>
      </c>
      <c r="F6" s="10">
        <v>3.7</v>
      </c>
      <c r="G6" s="10">
        <v>1.3</v>
      </c>
      <c r="H6" s="7">
        <v>231270</v>
      </c>
      <c r="I6" s="4">
        <f>internal_sales_data5[[#This Row],[Volume 2022]]*internal_sales_data5[[#This Row],[Net Price]]</f>
        <v>855699</v>
      </c>
      <c r="J6" s="10">
        <f>internal_sales_data5[[#This Row],[Net Price]]-internal_sales_data5[[#This Row],[COGS]]</f>
        <v>2.4000000000000004</v>
      </c>
      <c r="K6" s="4">
        <f>internal_sales_data5[[#This Row],[Gross Profit per unit]]*internal_sales_data5[[#This Row],[Volume 2022]]</f>
        <v>555048.00000000012</v>
      </c>
      <c r="L6" s="12">
        <f>internal_sales_data5[[#This Row],[Gross Profit per unit]]/internal_sales_data5[[#This Row],[Net Price]]</f>
        <v>0.64864864864864868</v>
      </c>
      <c r="M6" s="14">
        <f>internal_sales_data5[[#This Row],[Retail Price]]/internal_sales_data5[[#This Row],[Pack Size (ml)]]</f>
        <v>4.8333333333333332E-2</v>
      </c>
    </row>
    <row r="7" spans="1:13" x14ac:dyDescent="0.25">
      <c r="A7" t="s">
        <v>57</v>
      </c>
      <c r="B7" t="s">
        <v>75</v>
      </c>
      <c r="C7">
        <v>200</v>
      </c>
      <c r="D7" t="s">
        <v>83</v>
      </c>
      <c r="E7" s="10">
        <v>9</v>
      </c>
      <c r="F7" s="10">
        <v>5</v>
      </c>
      <c r="G7" s="10">
        <v>1.5</v>
      </c>
      <c r="H7" s="7">
        <v>289087</v>
      </c>
      <c r="I7" s="4">
        <f>internal_sales_data5[[#This Row],[Volume 2022]]*internal_sales_data5[[#This Row],[Net Price]]</f>
        <v>1445435</v>
      </c>
      <c r="J7" s="10">
        <f>internal_sales_data5[[#This Row],[Net Price]]-internal_sales_data5[[#This Row],[COGS]]</f>
        <v>3.5</v>
      </c>
      <c r="K7" s="4">
        <f>internal_sales_data5[[#This Row],[Gross Profit per unit]]*internal_sales_data5[[#This Row],[Volume 2022]]</f>
        <v>1011804.5</v>
      </c>
      <c r="L7" s="12">
        <f>internal_sales_data5[[#This Row],[Gross Profit per unit]]/internal_sales_data5[[#This Row],[Net Price]]</f>
        <v>0.7</v>
      </c>
      <c r="M7" s="14">
        <f>internal_sales_data5[[#This Row],[Retail Price]]/internal_sales_data5[[#This Row],[Pack Size (ml)]]</f>
        <v>4.4999999999999998E-2</v>
      </c>
    </row>
    <row r="8" spans="1:13" x14ac:dyDescent="0.25">
      <c r="A8" t="s">
        <v>22</v>
      </c>
      <c r="B8" t="s">
        <v>84</v>
      </c>
      <c r="C8">
        <v>100</v>
      </c>
      <c r="D8" t="s">
        <v>85</v>
      </c>
      <c r="E8" s="10">
        <v>6</v>
      </c>
      <c r="F8" s="10">
        <v>3.5</v>
      </c>
      <c r="G8" s="10">
        <v>1.1499999999999999</v>
      </c>
      <c r="H8" s="7">
        <v>1089532</v>
      </c>
      <c r="I8" s="4">
        <f>internal_sales_data5[[#This Row],[Volume 2022]]*internal_sales_data5[[#This Row],[Net Price]]</f>
        <v>3813362</v>
      </c>
      <c r="J8" s="10">
        <f>internal_sales_data5[[#This Row],[Net Price]]-internal_sales_data5[[#This Row],[COGS]]</f>
        <v>2.35</v>
      </c>
      <c r="K8" s="4">
        <f>internal_sales_data5[[#This Row],[Gross Profit per unit]]*internal_sales_data5[[#This Row],[Volume 2022]]</f>
        <v>2560400.2000000002</v>
      </c>
      <c r="L8" s="12">
        <f>internal_sales_data5[[#This Row],[Gross Profit per unit]]/internal_sales_data5[[#This Row],[Net Price]]</f>
        <v>0.67142857142857149</v>
      </c>
      <c r="M8" s="14">
        <f>internal_sales_data5[[#This Row],[Retail Price]]/internal_sales_data5[[#This Row],[Pack Size (ml)]]</f>
        <v>0.06</v>
      </c>
    </row>
    <row r="9" spans="1:13" x14ac:dyDescent="0.25">
      <c r="A9" t="s">
        <v>22</v>
      </c>
      <c r="B9" t="s">
        <v>84</v>
      </c>
      <c r="C9">
        <v>125</v>
      </c>
      <c r="D9" t="s">
        <v>86</v>
      </c>
      <c r="E9" s="10">
        <v>7</v>
      </c>
      <c r="F9" s="10">
        <v>4.25</v>
      </c>
      <c r="G9" s="10">
        <v>1.3</v>
      </c>
      <c r="H9" s="7">
        <v>466942</v>
      </c>
      <c r="I9" s="4">
        <f>internal_sales_data5[[#This Row],[Volume 2022]]*internal_sales_data5[[#This Row],[Net Price]]</f>
        <v>1984503.5</v>
      </c>
      <c r="J9" s="10">
        <f>internal_sales_data5[[#This Row],[Net Price]]-internal_sales_data5[[#This Row],[COGS]]</f>
        <v>2.95</v>
      </c>
      <c r="K9" s="4">
        <f>internal_sales_data5[[#This Row],[Gross Profit per unit]]*internal_sales_data5[[#This Row],[Volume 2022]]</f>
        <v>1377478.9000000001</v>
      </c>
      <c r="L9" s="12">
        <f>internal_sales_data5[[#This Row],[Gross Profit per unit]]/internal_sales_data5[[#This Row],[Net Price]]</f>
        <v>0.69411764705882362</v>
      </c>
      <c r="M9" s="14">
        <f>internal_sales_data5[[#This Row],[Retail Price]]/internal_sales_data5[[#This Row],[Pack Size (ml)]]</f>
        <v>5.6000000000000001E-2</v>
      </c>
    </row>
    <row r="10" spans="1:13" x14ac:dyDescent="0.25">
      <c r="A10" t="s">
        <v>22</v>
      </c>
      <c r="B10" t="s">
        <v>84</v>
      </c>
      <c r="C10">
        <v>150</v>
      </c>
      <c r="D10" t="s">
        <v>87</v>
      </c>
      <c r="E10" s="10">
        <v>8</v>
      </c>
      <c r="F10" s="10">
        <v>5.0999999999999996</v>
      </c>
      <c r="G10" s="10">
        <v>1.5</v>
      </c>
      <c r="H10" s="7">
        <v>389118</v>
      </c>
      <c r="I10" s="4">
        <f>internal_sales_data5[[#This Row],[Volume 2022]]*internal_sales_data5[[#This Row],[Net Price]]</f>
        <v>1984501.7999999998</v>
      </c>
      <c r="J10" s="10">
        <f>internal_sales_data5[[#This Row],[Net Price]]-internal_sales_data5[[#This Row],[COGS]]</f>
        <v>3.5999999999999996</v>
      </c>
      <c r="K10" s="4">
        <f>internal_sales_data5[[#This Row],[Gross Profit per unit]]*internal_sales_data5[[#This Row],[Volume 2022]]</f>
        <v>1400824.7999999998</v>
      </c>
      <c r="L10" s="12">
        <f>internal_sales_data5[[#This Row],[Gross Profit per unit]]/internal_sales_data5[[#This Row],[Net Price]]</f>
        <v>0.70588235294117641</v>
      </c>
      <c r="M10" s="14">
        <f>internal_sales_data5[[#This Row],[Retail Price]]/internal_sales_data5[[#This Row],[Pack Size (ml)]]</f>
        <v>5.3333333333333337E-2</v>
      </c>
    </row>
    <row r="11" spans="1:13" x14ac:dyDescent="0.25">
      <c r="A11" t="s">
        <v>22</v>
      </c>
      <c r="B11" t="s">
        <v>84</v>
      </c>
      <c r="C11">
        <v>200</v>
      </c>
      <c r="D11" t="s">
        <v>88</v>
      </c>
      <c r="E11" s="10">
        <v>10</v>
      </c>
      <c r="F11" s="10">
        <v>6</v>
      </c>
      <c r="G11" s="10">
        <v>1.7</v>
      </c>
      <c r="H11" s="7">
        <v>233471</v>
      </c>
      <c r="I11" s="4">
        <f>internal_sales_data5[[#This Row],[Volume 2022]]*internal_sales_data5[[#This Row],[Net Price]]</f>
        <v>1400826</v>
      </c>
      <c r="J11" s="10">
        <f>internal_sales_data5[[#This Row],[Net Price]]-internal_sales_data5[[#This Row],[COGS]]</f>
        <v>4.3</v>
      </c>
      <c r="K11" s="4">
        <f>internal_sales_data5[[#This Row],[Gross Profit per unit]]*internal_sales_data5[[#This Row],[Volume 2022]]</f>
        <v>1003925.2999999999</v>
      </c>
      <c r="L11" s="12">
        <f>internal_sales_data5[[#This Row],[Gross Profit per unit]]/internal_sales_data5[[#This Row],[Net Price]]</f>
        <v>0.71666666666666667</v>
      </c>
      <c r="M11" s="14">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0">
        <f>internal_sales_data5[[#This Row],[Pack Size (ml)]]*M2*(1+50%)</f>
        <v>3.75</v>
      </c>
      <c r="F12" s="10">
        <v>2.2999999999999998</v>
      </c>
      <c r="G12" s="10">
        <v>0.7</v>
      </c>
      <c r="H12" s="7">
        <f>H2*10%</f>
        <v>115634.8</v>
      </c>
      <c r="I12" s="4">
        <f>internal_sales_data5[[#This Row],[Volume 2022]]*internal_sales_data5[[#This Row],[Net Price]]</f>
        <v>265960.03999999998</v>
      </c>
      <c r="J12" s="10">
        <f>internal_sales_data5[[#This Row],[Net Price]]-internal_sales_data5[[#This Row],[COGS]]</f>
        <v>1.5999999999999999</v>
      </c>
      <c r="K12" s="4">
        <f>internal_sales_data5[[#This Row],[Gross Profit per unit]]*internal_sales_data5[[#This Row],[Volume 2022]]</f>
        <v>185015.67999999999</v>
      </c>
      <c r="L12" s="12">
        <f>internal_sales_data5[[#This Row],[Gross Profit per unit]]/internal_sales_data5[[#This Row],[Net Price]]</f>
        <v>0.69565217391304346</v>
      </c>
      <c r="M12" s="14">
        <f>internal_sales_data5[[#This Row],[Retail Price]]/internal_sales_data5[[#This Row],[Pack Size (ml)]]</f>
        <v>7.4999999999999997E-2</v>
      </c>
    </row>
    <row r="22" spans="9:9" x14ac:dyDescent="0.25">
      <c r="I22" s="1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5">
        <f>VLOOKUP(promotion_analysis[[#This Row],[Month]],'Promotion Graph'!$A$5:$B$16,2,FALSE)</f>
        <v>1445626</v>
      </c>
      <c r="G2" s="15">
        <f>AVERAGE('Promotion Graph'!$B$5:$B$7,'Promotion Graph'!$B$9:$B$11,'Promotion Graph'!$B$13:$B$14,'Promotion Graph'!$B$16)</f>
        <v>840835.5555555555</v>
      </c>
      <c r="H2" s="15">
        <f>promotion_analysis[[#This Row],[Value sales]]-promotion_analysis[[#This Row],[Baseline sales ]]</f>
        <v>604790.4444444445</v>
      </c>
      <c r="I2" s="1">
        <v>620000</v>
      </c>
      <c r="J2" s="12">
        <f>(promotion_analysis[[#This Row],[Uplift]]-promotion_analysis[[#This Row],[Cost]])/promotion_analysis[[#This Row],[Cost]]</f>
        <v>-2.453154121863791E-2</v>
      </c>
    </row>
    <row r="3" spans="1:10" x14ac:dyDescent="0.25">
      <c r="A3">
        <v>2</v>
      </c>
      <c r="B3" t="s">
        <v>110</v>
      </c>
      <c r="C3" t="s">
        <v>22</v>
      </c>
      <c r="D3">
        <v>2022</v>
      </c>
      <c r="E3">
        <v>8</v>
      </c>
      <c r="F3" s="15">
        <f>VLOOKUP(promotion_analysis[[#This Row],[Month]],'Promotion Graph'!$A$5:$B$16,2,FALSE)</f>
        <v>1198708</v>
      </c>
      <c r="G3" s="15">
        <f>AVERAGE('Promotion Graph'!$B$5:$B$7,'Promotion Graph'!$B$9:$B$11,'Promotion Graph'!$B$13:$B$14,'Promotion Graph'!$B$16)</f>
        <v>840835.5555555555</v>
      </c>
      <c r="H3" s="15">
        <f>promotion_analysis[[#This Row],[Value sales]]-promotion_analysis[[#This Row],[Baseline sales ]]</f>
        <v>357872.4444444445</v>
      </c>
      <c r="I3" s="1">
        <v>320000</v>
      </c>
      <c r="J3" s="12">
        <f>(promotion_analysis[[#This Row],[Uplift]]-promotion_analysis[[#This Row],[Cost]])/promotion_analysis[[#This Row],[Cost]]</f>
        <v>0.11835138888888905</v>
      </c>
    </row>
    <row r="4" spans="1:10" x14ac:dyDescent="0.25">
      <c r="A4">
        <v>3</v>
      </c>
      <c r="B4" t="s">
        <v>111</v>
      </c>
      <c r="C4" t="s">
        <v>22</v>
      </c>
      <c r="D4">
        <v>2022</v>
      </c>
      <c r="E4">
        <v>11</v>
      </c>
      <c r="F4" s="15">
        <f>VLOOKUP(promotion_analysis[[#This Row],[Month]],'Promotion Graph'!$A$5:$B$16,2,FALSE)</f>
        <v>1413646</v>
      </c>
      <c r="G4" s="15">
        <f>AVERAGE('Promotion Graph'!$B$5:$B$7,'Promotion Graph'!$B$9:$B$11,'Promotion Graph'!$B$13:$B$14,'Promotion Graph'!$B$16)</f>
        <v>840835.5555555555</v>
      </c>
      <c r="H4" s="15">
        <f>promotion_analysis[[#This Row],[Value sales]]-promotion_analysis[[#This Row],[Baseline sales ]]</f>
        <v>572810.4444444445</v>
      </c>
      <c r="I4" s="1">
        <v>540000</v>
      </c>
      <c r="J4" s="12">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M7" sqref="M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s="35" t="s">
        <v>61</v>
      </c>
    </row>
    <row r="5" spans="1:2" x14ac:dyDescent="0.25">
      <c r="A5" s="3">
        <v>1</v>
      </c>
      <c r="B5" s="42">
        <v>849590</v>
      </c>
    </row>
    <row r="6" spans="1:2" x14ac:dyDescent="0.25">
      <c r="A6" s="3">
        <v>2</v>
      </c>
      <c r="B6" s="42">
        <v>822290</v>
      </c>
    </row>
    <row r="7" spans="1:2" x14ac:dyDescent="0.25">
      <c r="A7" s="3">
        <v>3</v>
      </c>
      <c r="B7" s="42">
        <v>827649</v>
      </c>
    </row>
    <row r="8" spans="1:2" x14ac:dyDescent="0.25">
      <c r="A8" s="3">
        <v>4</v>
      </c>
      <c r="B8" s="42">
        <v>1445626</v>
      </c>
    </row>
    <row r="9" spans="1:2" x14ac:dyDescent="0.25">
      <c r="A9" s="3">
        <v>5</v>
      </c>
      <c r="B9" s="42">
        <v>874089</v>
      </c>
    </row>
    <row r="10" spans="1:2" x14ac:dyDescent="0.25">
      <c r="A10" s="3">
        <v>6</v>
      </c>
      <c r="B10" s="42">
        <v>876087</v>
      </c>
    </row>
    <row r="11" spans="1:2" x14ac:dyDescent="0.25">
      <c r="A11" s="3">
        <v>7</v>
      </c>
      <c r="B11" s="42">
        <v>842454</v>
      </c>
    </row>
    <row r="12" spans="1:2" x14ac:dyDescent="0.25">
      <c r="A12" s="3">
        <v>8</v>
      </c>
      <c r="B12" s="42">
        <v>1198708</v>
      </c>
    </row>
    <row r="13" spans="1:2" x14ac:dyDescent="0.25">
      <c r="A13" s="3">
        <v>9</v>
      </c>
      <c r="B13" s="42">
        <v>853650</v>
      </c>
    </row>
    <row r="14" spans="1:2" x14ac:dyDescent="0.25">
      <c r="A14" s="3">
        <v>10</v>
      </c>
      <c r="B14" s="42">
        <v>816480</v>
      </c>
    </row>
    <row r="15" spans="1:2" x14ac:dyDescent="0.25">
      <c r="A15" s="3">
        <v>11</v>
      </c>
      <c r="B15" s="42">
        <v>1413646</v>
      </c>
    </row>
    <row r="16" spans="1:2" x14ac:dyDescent="0.25">
      <c r="A16" s="3">
        <v>12</v>
      </c>
      <c r="B16" s="42">
        <v>805231</v>
      </c>
    </row>
    <row r="17" spans="1:2" x14ac:dyDescent="0.25">
      <c r="A17" s="3" t="s">
        <v>59</v>
      </c>
      <c r="B17" s="42">
        <v>11625500</v>
      </c>
    </row>
    <row r="20" spans="1:2" x14ac:dyDescent="0.25">
      <c r="B20" s="9"/>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J18" sqref="J18"/>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 min="7" max="7" width="7.8554687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2">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D9" sqref="D9"/>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16">
        <v>2018</v>
      </c>
      <c r="B4" s="43">
        <v>30685269</v>
      </c>
    </row>
    <row r="5" spans="1:2" x14ac:dyDescent="0.25">
      <c r="A5" s="16">
        <v>2019</v>
      </c>
      <c r="B5" s="43">
        <v>29261549</v>
      </c>
    </row>
    <row r="6" spans="1:2" x14ac:dyDescent="0.25">
      <c r="A6" s="16">
        <v>2020</v>
      </c>
      <c r="B6" s="43">
        <v>30370933</v>
      </c>
    </row>
    <row r="7" spans="1:2" x14ac:dyDescent="0.25">
      <c r="A7" s="16">
        <v>2021</v>
      </c>
      <c r="B7" s="43">
        <v>30710796</v>
      </c>
    </row>
    <row r="8" spans="1:2" x14ac:dyDescent="0.25">
      <c r="A8" s="18">
        <v>2022</v>
      </c>
      <c r="B8" s="44">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tabSelected="1" workbookViewId="0">
      <selection activeCell="P19" sqref="P19"/>
    </sheetView>
  </sheetViews>
  <sheetFormatPr defaultRowHeight="15" x14ac:dyDescent="0.25"/>
  <cols>
    <col min="1" max="1" width="25.140625" customWidth="1"/>
    <col min="2" max="2" width="18" bestFit="1" customWidth="1"/>
    <col min="3" max="3" width="18.42578125" customWidth="1"/>
    <col min="4" max="4" width="16" customWidth="1"/>
    <col min="5" max="5" width="25.140625" customWidth="1"/>
  </cols>
  <sheetData>
    <row r="1" spans="1:5" x14ac:dyDescent="0.25">
      <c r="A1" t="s">
        <v>118</v>
      </c>
      <c r="B1" t="s">
        <v>122</v>
      </c>
      <c r="C1" t="s">
        <v>119</v>
      </c>
      <c r="D1" t="s">
        <v>126</v>
      </c>
      <c r="E1" t="s">
        <v>121</v>
      </c>
    </row>
    <row r="2" spans="1:5" x14ac:dyDescent="0.25">
      <c r="A2" s="11">
        <f>'Forecast 2024'!F7</f>
        <v>20606057.899500884</v>
      </c>
      <c r="B2" s="11">
        <f>'Forecast 2024'!F8-'Forecast 2024'!F7</f>
        <v>202654.24053605273</v>
      </c>
      <c r="C2" s="11">
        <f>'Organic Shampoo Launch'!E3</f>
        <v>336896.60399999993</v>
      </c>
      <c r="D2" s="11">
        <f>'50ml Shampoo 2024'!I12</f>
        <v>265960.03999999998</v>
      </c>
      <c r="E2" s="1">
        <f>SUM(A2:D2)</f>
        <v>21411568.784036934</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FD4523-67D8-4D99-9C3B-55FEFD1949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8D7BE8-6711-47A3-98D0-92DA01E67F15}">
  <ds:schemaRefs>
    <ds:schemaRef ds:uri="http://schemas.microsoft.com/DataMashup"/>
  </ds:schemaRefs>
</ds:datastoreItem>
</file>

<file path=customXml/itemProps3.xml><?xml version="1.0" encoding="utf-8"?>
<ds:datastoreItem xmlns:ds="http://schemas.openxmlformats.org/officeDocument/2006/customXml" ds:itemID="{6CCC06D9-D2B4-4936-8D88-171C846A3FA4}">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4.xml><?xml version="1.0" encoding="utf-8"?>
<ds:datastoreItem xmlns:ds="http://schemas.openxmlformats.org/officeDocument/2006/customXml" ds:itemID="{FF394ACF-6130-4947-97FE-A560C7B6E737}">
  <ds:schemaRefs>
    <ds:schemaRef ds:uri="http://schemas.microsoft.com/sharepoint/v3/contenttype/forms"/>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Ahmad Assad</cp:lastModifiedBy>
  <dcterms:created xsi:type="dcterms:W3CDTF">2022-06-08T14:08:07Z</dcterms:created>
  <dcterms:modified xsi:type="dcterms:W3CDTF">2025-03-13T13:09:00Z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