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Personal\Uniandes\MBIT\Arquitectura Integracion\Proyecto\"/>
    </mc:Choice>
  </mc:AlternateContent>
  <xr:revisionPtr revIDLastSave="0" documentId="8_{6D44344A-69FA-491E-B6DF-51E97BDA8AF9}" xr6:coauthVersionLast="44" xr6:coauthVersionMax="44" xr10:uidLastSave="{00000000-0000-0000-0000-000000000000}"/>
  <bookViews>
    <workbookView xWindow="-110" yWindow="-110" windowWidth="21820" windowHeight="14020" tabRatio="811" activeTab="3" xr2:uid="{00000000-000D-0000-FFFF-FFFF00000000}"/>
  </bookViews>
  <sheets>
    <sheet name="SUPUESTOS" sheetId="28" r:id="rId1"/>
    <sheet name="FLUJO DE CAJA" sheetId="22" r:id="rId2"/>
    <sheet name="Inversion" sheetId="23" r:id="rId3"/>
    <sheet name="Calculo Riesgos y Costos" sheetId="24" r:id="rId4"/>
    <sheet name="EVALUACION FINANCIERA" sheetId="27"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1" i="22" l="1"/>
  <c r="G40" i="22"/>
  <c r="F40" i="22"/>
  <c r="E40" i="22"/>
  <c r="F20" i="22" l="1"/>
  <c r="G20" i="22" s="1"/>
  <c r="H20" i="22" s="1"/>
  <c r="F7" i="24"/>
  <c r="D22" i="24"/>
  <c r="D6" i="24"/>
  <c r="F20" i="24"/>
  <c r="F22" i="24"/>
  <c r="E19" i="24"/>
  <c r="F19" i="24" s="1"/>
  <c r="G7" i="23"/>
  <c r="D21" i="24"/>
  <c r="F21" i="24" s="1"/>
  <c r="E20" i="24"/>
  <c r="D18" i="24"/>
  <c r="F18" i="24" s="1"/>
  <c r="F14" i="24"/>
  <c r="E13" i="24"/>
  <c r="F13" i="24" s="1"/>
  <c r="D12" i="24"/>
  <c r="F12" i="24" s="1"/>
  <c r="F15" i="24" s="1"/>
  <c r="F23" i="24" l="1"/>
  <c r="G12" i="23" l="1"/>
  <c r="G13" i="23"/>
  <c r="K19" i="23"/>
  <c r="F6" i="24"/>
  <c r="G11" i="23" l="1"/>
  <c r="F5" i="24"/>
  <c r="G6" i="23"/>
  <c r="C4" i="27"/>
  <c r="G14" i="23"/>
  <c r="G10" i="23"/>
  <c r="M38" i="22"/>
  <c r="L38" i="22"/>
  <c r="K38" i="22"/>
  <c r="J38" i="22"/>
  <c r="I38" i="22"/>
  <c r="H38" i="22"/>
  <c r="G38" i="22"/>
  <c r="F38" i="22"/>
  <c r="E38" i="22"/>
  <c r="D38" i="22"/>
  <c r="C38" i="22"/>
  <c r="M18" i="22"/>
  <c r="M6" i="27"/>
  <c r="L18" i="22"/>
  <c r="L6" i="27" s="1"/>
  <c r="K18" i="22"/>
  <c r="K6" i="27"/>
  <c r="J18" i="22"/>
  <c r="J6" i="27" s="1"/>
  <c r="I18" i="22"/>
  <c r="I6" i="27"/>
  <c r="H18" i="22"/>
  <c r="H6" i="27" s="1"/>
  <c r="G18" i="22"/>
  <c r="G6" i="27"/>
  <c r="F18" i="22"/>
  <c r="F6" i="27" s="1"/>
  <c r="E18" i="22"/>
  <c r="E6" i="27"/>
  <c r="D18" i="22"/>
  <c r="D6" i="27" s="1"/>
  <c r="C18" i="22"/>
  <c r="C6" i="27"/>
  <c r="C49" i="22"/>
  <c r="C41" i="22"/>
  <c r="C57" i="22" s="1"/>
  <c r="C14" i="27" s="1"/>
  <c r="M41" i="22"/>
  <c r="L41" i="22"/>
  <c r="K41" i="22"/>
  <c r="K57" i="22" s="1"/>
  <c r="K14" i="27" s="1"/>
  <c r="J41" i="22"/>
  <c r="I41" i="22"/>
  <c r="G41" i="22"/>
  <c r="M37" i="22"/>
  <c r="L37" i="22"/>
  <c r="K37" i="22"/>
  <c r="J37" i="22"/>
  <c r="I37" i="22"/>
  <c r="H37" i="22"/>
  <c r="G37" i="22"/>
  <c r="F37" i="22"/>
  <c r="E37" i="22"/>
  <c r="D37" i="22"/>
  <c r="C37" i="22"/>
  <c r="M17" i="22"/>
  <c r="M5" i="27" s="1"/>
  <c r="M18" i="27" s="1"/>
  <c r="L17" i="22"/>
  <c r="L5" i="27" s="1"/>
  <c r="L18" i="27" s="1"/>
  <c r="K17" i="22"/>
  <c r="K5" i="27" s="1"/>
  <c r="K18" i="27" s="1"/>
  <c r="J17" i="22"/>
  <c r="J5" i="27"/>
  <c r="J18" i="27"/>
  <c r="I17" i="22"/>
  <c r="I5" i="27"/>
  <c r="I18" i="27"/>
  <c r="H17" i="22"/>
  <c r="H5" i="27" s="1"/>
  <c r="H18" i="27" s="1"/>
  <c r="G17" i="22"/>
  <c r="G5" i="27"/>
  <c r="G18" i="27" s="1"/>
  <c r="F17" i="22"/>
  <c r="F5" i="27" s="1"/>
  <c r="F18" i="27" s="1"/>
  <c r="E17" i="22"/>
  <c r="E5" i="27" s="1"/>
  <c r="E18" i="27" s="1"/>
  <c r="D17" i="22"/>
  <c r="D5" i="27" s="1"/>
  <c r="D18" i="27" s="1"/>
  <c r="C17" i="22"/>
  <c r="C5" i="27"/>
  <c r="C18" i="27" s="1"/>
  <c r="C33" i="22"/>
  <c r="C26" i="22"/>
  <c r="C34" i="22" s="1"/>
  <c r="M56" i="22"/>
  <c r="M57" i="22" s="1"/>
  <c r="M14" i="27" s="1"/>
  <c r="L56" i="22"/>
  <c r="K56" i="22"/>
  <c r="J56" i="22"/>
  <c r="I56" i="22"/>
  <c r="I57" i="22" s="1"/>
  <c r="I14" i="27" s="1"/>
  <c r="C56" i="22"/>
  <c r="M49" i="22"/>
  <c r="L49" i="22"/>
  <c r="K49" i="22"/>
  <c r="J49" i="22"/>
  <c r="I49" i="22"/>
  <c r="M33" i="22"/>
  <c r="L33" i="22"/>
  <c r="L34" i="22" s="1"/>
  <c r="L9" i="27" s="1"/>
  <c r="K33" i="22"/>
  <c r="J33" i="22"/>
  <c r="I33" i="22"/>
  <c r="I34" i="22" s="1"/>
  <c r="I9" i="27" s="1"/>
  <c r="I19" i="27" s="1"/>
  <c r="M26" i="22"/>
  <c r="M34" i="22" s="1"/>
  <c r="M9" i="27" s="1"/>
  <c r="L26" i="22"/>
  <c r="K26" i="22"/>
  <c r="J26" i="22"/>
  <c r="J34" i="22"/>
  <c r="J9" i="27" s="1"/>
  <c r="I26" i="22"/>
  <c r="K34" i="22"/>
  <c r="K9" i="27" s="1"/>
  <c r="K19" i="27" s="1"/>
  <c r="L57" i="22"/>
  <c r="L14" i="27" s="1"/>
  <c r="J57" i="22"/>
  <c r="J14" i="27" s="1"/>
  <c r="G49" i="22" l="1"/>
  <c r="G15" i="23"/>
  <c r="F52" i="22"/>
  <c r="E52" i="22"/>
  <c r="E56" i="22" s="1"/>
  <c r="E49" i="22"/>
  <c r="E28" i="22"/>
  <c r="E33" i="22" s="1"/>
  <c r="E51" i="22"/>
  <c r="F51" i="22"/>
  <c r="G51" i="22"/>
  <c r="H51" i="22"/>
  <c r="H52" i="22"/>
  <c r="D51" i="22"/>
  <c r="D56" i="22" s="1"/>
  <c r="D28" i="22"/>
  <c r="D33" i="22" s="1"/>
  <c r="H28" i="22"/>
  <c r="H33" i="22" s="1"/>
  <c r="G28" i="22"/>
  <c r="G33" i="22" s="1"/>
  <c r="F28" i="22"/>
  <c r="F33" i="22" s="1"/>
  <c r="F26" i="22"/>
  <c r="D49" i="22"/>
  <c r="H49" i="22"/>
  <c r="L19" i="27"/>
  <c r="M19" i="27"/>
  <c r="J19" i="27"/>
  <c r="C35" i="22"/>
  <c r="C9" i="27"/>
  <c r="C19" i="27" s="1"/>
  <c r="G52" i="22"/>
  <c r="E26" i="22"/>
  <c r="F49" i="22"/>
  <c r="H26" i="22"/>
  <c r="G26" i="22"/>
  <c r="D26" i="22"/>
  <c r="H34" i="22" l="1"/>
  <c r="H9" i="27" s="1"/>
  <c r="E41" i="22"/>
  <c r="E57" i="22" s="1"/>
  <c r="E14" i="27" s="1"/>
  <c r="F41" i="22"/>
  <c r="D40" i="22"/>
  <c r="C23" i="27" s="1"/>
  <c r="D23" i="27" s="1"/>
  <c r="F56" i="22"/>
  <c r="G34" i="22"/>
  <c r="G9" i="27" s="1"/>
  <c r="H56" i="22"/>
  <c r="H57" i="22" s="1"/>
  <c r="H14" i="27" s="1"/>
  <c r="G56" i="22"/>
  <c r="G57" i="22" s="1"/>
  <c r="G14" i="27" s="1"/>
  <c r="E34" i="22"/>
  <c r="E9" i="27" s="1"/>
  <c r="D34" i="22"/>
  <c r="D9" i="27" s="1"/>
  <c r="F34" i="22"/>
  <c r="F9" i="27" s="1"/>
  <c r="H19" i="27" l="1"/>
  <c r="F57" i="22"/>
  <c r="F14" i="27" s="1"/>
  <c r="F19" i="27" s="1"/>
  <c r="D41" i="22"/>
  <c r="D57" i="22" s="1"/>
  <c r="D14" i="27" s="1"/>
  <c r="D19" i="27" s="1"/>
  <c r="D20" i="27" s="1"/>
  <c r="G19" i="27"/>
  <c r="E19" i="27"/>
  <c r="C11" i="27"/>
  <c r="D11" i="27" s="1"/>
  <c r="C16" i="27" l="1"/>
  <c r="C26" i="27" s="1"/>
  <c r="D26" i="27" s="1"/>
  <c r="E20" i="27"/>
  <c r="F20" i="27" s="1"/>
  <c r="G20" i="27" s="1"/>
  <c r="H20" i="27" s="1"/>
  <c r="C28" i="27" l="1"/>
  <c r="D28"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tc={D5D1C0D6-5715-4436-8F3B-F62FCDC6DEB4}</author>
    <author>tc={F72C6D8B-6A71-4C40-BDE1-1BBFAE6DB1ED}</author>
    <author>tc={76FCFB36-1DE4-479D-895E-9E1A0F7E40F7}</author>
  </authors>
  <commentList>
    <comment ref="I2" authorId="0" shapeId="0" xr:uid="{D5D1C0D6-5715-4436-8F3B-F62FCDC6DEB4}">
      <text>
        <t>[Threaded comment]
Your version of Excel allows you to read this threaded comment; however, any edits to it will get removed if the file is opened in a newer version of Excel. Learn more: https://go.microsoft.com/fwlink/?linkid=870924
Comment:
    https://planeacion.uniandes.edu.co/en/universidad-en-cifras/universidad-en-cifras</t>
      </text>
    </comment>
    <comment ref="D12" authorId="1" shapeId="0" xr:uid="{F72C6D8B-6A71-4C40-BDE1-1BBFAE6DB1ED}">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 ref="D18" authorId="2" shapeId="0" xr:uid="{76FCFB36-1DE4-479D-895E-9E1A0F7E40F7}">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List>
</comments>
</file>

<file path=xl/sharedStrings.xml><?xml version="1.0" encoding="utf-8"?>
<sst xmlns="http://schemas.openxmlformats.org/spreadsheetml/2006/main" count="123" uniqueCount="93">
  <si>
    <t>Costos de disposición</t>
  </si>
  <si>
    <t>Costos de parada</t>
  </si>
  <si>
    <t>Otros Costos</t>
  </si>
  <si>
    <t>RIESGO CON PROYECTO</t>
  </si>
  <si>
    <t xml:space="preserve">Perdidas acción </t>
  </si>
  <si>
    <t xml:space="preserve">Tecnología </t>
  </si>
  <si>
    <t>Servicios</t>
  </si>
  <si>
    <t>Otros</t>
  </si>
  <si>
    <t>Recursos</t>
  </si>
  <si>
    <t>NOMBRE DEL PROYECTO</t>
  </si>
  <si>
    <t>TASA DE CAMBIO</t>
  </si>
  <si>
    <t>Probabilidad Riesgo 1</t>
  </si>
  <si>
    <t>Probabilidad Riesgo 2</t>
  </si>
  <si>
    <t>Probabilidad Riesgo 3</t>
  </si>
  <si>
    <t>VARIABLES DE ENTRADA</t>
  </si>
  <si>
    <t>Perdida Riesgo 3</t>
  </si>
  <si>
    <t>Total Perdidas Riesgo</t>
  </si>
  <si>
    <t>Total Costos</t>
  </si>
  <si>
    <t>INVERSION</t>
  </si>
  <si>
    <t>Total Inversion</t>
  </si>
  <si>
    <t>1. PERDIDAS RIESGO</t>
  </si>
  <si>
    <t>2. COSTOS</t>
  </si>
  <si>
    <t>1. INVERSION TOTAL</t>
  </si>
  <si>
    <t>2. PERDIDAS RIESGO</t>
  </si>
  <si>
    <t>3. COSTOS</t>
  </si>
  <si>
    <t>EVALUACION FINANCIERA</t>
  </si>
  <si>
    <t>TASA DE DESCUENTO*</t>
  </si>
  <si>
    <t>* Hace referencia al WACC</t>
  </si>
  <si>
    <t>Año</t>
  </si>
  <si>
    <t>Defina los años de la Proyeccion</t>
  </si>
  <si>
    <t>VPN</t>
  </si>
  <si>
    <t>BENEFICIO</t>
  </si>
  <si>
    <t>PESOS</t>
  </si>
  <si>
    <t>Tarifa Dia</t>
  </si>
  <si>
    <t>Dias Hombre</t>
  </si>
  <si>
    <t>Total</t>
  </si>
  <si>
    <t>Gastos específicos</t>
  </si>
  <si>
    <t>TOTAL</t>
  </si>
  <si>
    <t>Por favor digite el valor de las variables en las casillas gris</t>
  </si>
  <si>
    <t xml:space="preserve">VPN </t>
  </si>
  <si>
    <t>REGISTRO DE OPERACIONES</t>
  </si>
  <si>
    <t>RELACION BENEFICIO COSTO</t>
  </si>
  <si>
    <t>RIESGO SIN PROYECTO</t>
  </si>
  <si>
    <t xml:space="preserve">3. FLUJO DE CAJA </t>
  </si>
  <si>
    <t>4. FLUJO DE CAJA</t>
  </si>
  <si>
    <t>PAY BACK</t>
  </si>
  <si>
    <t>RIESGOS</t>
  </si>
  <si>
    <t>Tarifa Empleada</t>
  </si>
  <si>
    <t>COSTOS</t>
  </si>
  <si>
    <t>MUSD</t>
  </si>
  <si>
    <t>Tasa Descuento</t>
  </si>
  <si>
    <t>#Licencias</t>
  </si>
  <si>
    <t>Costo USD</t>
  </si>
  <si>
    <t xml:space="preserve">Perdidas por MULTAS </t>
  </si>
  <si>
    <t>VPN ACUMULADO</t>
  </si>
  <si>
    <t xml:space="preserve"> Licencias</t>
  </si>
  <si>
    <t>Matrícula</t>
  </si>
  <si>
    <t># Estudiantes</t>
  </si>
  <si>
    <t>Costos de operación sedes propias</t>
  </si>
  <si>
    <t>Costo alianzas con otras universidades</t>
  </si>
  <si>
    <t>Contempla 3 Iniciativas:</t>
  </si>
  <si>
    <t>Incrementar la cantidad de cursos virtuales disponibles en la universidad.</t>
  </si>
  <si>
    <t>Permitir el pago de matrículas y eventos de forma electrónica desde los sitios web puestos a disposición por la Universidad.</t>
  </si>
  <si>
    <t>Incrementar el manejo de documentos digitales</t>
  </si>
  <si>
    <t>Costos Moodle Cloud</t>
  </si>
  <si>
    <t>Proyecto de Transformación Digital</t>
  </si>
  <si>
    <t>Se planea tener un crecimiento de 1000 estudiantes por año. Para llegar a 5.000</t>
  </si>
  <si>
    <t>500 usuarios $1000 USD / año</t>
  </si>
  <si>
    <t>Cada curso será de 25 estudiantes. Es decir que cada año se crearan 20 nuevos cursos.</t>
  </si>
  <si>
    <t>Licenciamiento Plataforma Moodle</t>
  </si>
  <si>
    <t>Una pasarela de pago cobra aproximadamemnte 3% del valor de la transaccion</t>
  </si>
  <si>
    <t>Los ingresos relacionados por eventos corresponden al 5% de los ingresos de la Universidad</t>
  </si>
  <si>
    <t>PERDIDA DE ESTUDIANTES VIRTUALES</t>
  </si>
  <si>
    <t>SEMINARIOS Y EVENTOS NO ADQUIRIDOS</t>
  </si>
  <si>
    <t>COSTO PROCESAMIINTO MANUAL PAGO EVENTOS</t>
  </si>
  <si>
    <t>Reduccion del costo de administrar expedientes documentales fisicos.</t>
  </si>
  <si>
    <t>Mayor eficiencia con la inmediatez en la busqueda de documentos.</t>
  </si>
  <si>
    <t>Implementacion Moodle</t>
  </si>
  <si>
    <t>Integarcion pasarela de pagos</t>
  </si>
  <si>
    <t>Implementacion Gestor Documental</t>
  </si>
  <si>
    <t>ADMINISTRACION EXPEDIENTES FISICOS</t>
  </si>
  <si>
    <t>COSTOS SIN PROYECTO</t>
  </si>
  <si>
    <t>COSTOS CON PROYECTO</t>
  </si>
  <si>
    <t>Cantidad</t>
  </si>
  <si>
    <t>TOTAL COSTOS SIN PROYECTO</t>
  </si>
  <si>
    <t>Enterprise Content Management</t>
  </si>
  <si>
    <t>COSTO MTTO LICENCIAMIENTO CONTENT MANAGEMENT</t>
  </si>
  <si>
    <t>COSTO SUSCRIPCION MOODLE</t>
  </si>
  <si>
    <t>UTILIZCION PASARELA DE PAGOS</t>
  </si>
  <si>
    <t>TOTAL COSTOS CON PROYECTO</t>
  </si>
  <si>
    <t>PROFESORES PARA CURSOS VRTUALES</t>
  </si>
  <si>
    <t>TOTAL RIESGOS</t>
  </si>
  <si>
    <t>Perdidas por Riesgo y costo de oportunidad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</si>
</sst>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164" fontId="6" fillId="0" borderId="0" applyFont="0" applyFill="0" applyBorder="0" applyAlignment="0" applyProtection="0"/>
    <xf numFmtId="0" fontId="7" fillId="0" borderId="0"/>
    <xf numFmtId="0" fontId="6" fillId="0" borderId="0"/>
    <xf numFmtId="0" fontId="7"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43"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43"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83">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43"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Border="1" applyAlignment="1">
      <alignment horizontal="left" vertic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5" fillId="0" borderId="0" xfId="0" applyFont="1" applyFill="1" applyBorder="1" applyAlignment="1">
      <alignment horizontal="center"/>
    </xf>
    <xf numFmtId="167" fontId="0" fillId="2" borderId="0" xfId="5" applyNumberFormat="1" applyFont="1" applyFill="1"/>
    <xf numFmtId="0" fontId="13" fillId="2" borderId="9" xfId="0" applyFont="1" applyFill="1" applyBorder="1" applyAlignment="1">
      <alignment vertical="center"/>
    </xf>
    <xf numFmtId="0" fontId="13" fillId="2" borderId="9" xfId="0" applyFont="1" applyFill="1" applyBorder="1" applyAlignment="1">
      <alignment wrapText="1"/>
    </xf>
    <xf numFmtId="0" fontId="13" fillId="2" borderId="9" xfId="0" applyFont="1" applyFill="1" applyBorder="1"/>
    <xf numFmtId="0" fontId="13" fillId="0" borderId="0" xfId="0" applyFont="1" applyBorder="1" applyAlignment="1">
      <alignment horizontal="center" vertical="center"/>
    </xf>
    <xf numFmtId="172" fontId="13" fillId="0" borderId="0" xfId="0" applyNumberFormat="1"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43" fontId="16" fillId="5" borderId="5" xfId="5" applyNumberFormat="1" applyFont="1" applyFill="1" applyBorder="1" applyAlignment="1" applyProtection="1">
      <alignment horizontal="left" vertical="center"/>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0" fontId="15" fillId="0" borderId="9" xfId="0" applyFont="1" applyFill="1" applyBorder="1" applyAlignment="1">
      <alignment horizontal="center"/>
    </xf>
    <xf numFmtId="0" fontId="13" fillId="2" borderId="2" xfId="0" applyFont="1" applyFill="1" applyBorder="1" applyAlignment="1">
      <alignment vertical="center"/>
    </xf>
    <xf numFmtId="0" fontId="13" fillId="2" borderId="2" xfId="0" applyFont="1" applyFill="1" applyBorder="1" applyAlignment="1">
      <alignment wrapText="1"/>
    </xf>
    <xf numFmtId="43" fontId="13" fillId="0" borderId="0" xfId="5" applyFont="1"/>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0" fontId="13" fillId="0" borderId="0" xfId="0" applyFont="1" applyAlignment="1">
      <alignment horizontal="center" vertical="center"/>
    </xf>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0" fontId="20" fillId="4" borderId="0" xfId="0" applyFont="1" applyFill="1" applyBorder="1" applyAlignment="1">
      <alignment horizontal="center" vertical="center"/>
    </xf>
    <xf numFmtId="172" fontId="13" fillId="6" borderId="9" xfId="40" applyNumberFormat="1" applyFont="1" applyFill="1" applyBorder="1" applyAlignment="1">
      <alignment horizontal="center" vertical="center"/>
    </xf>
    <xf numFmtId="0" fontId="13" fillId="6" borderId="2" xfId="0" applyFont="1" applyFill="1" applyBorder="1" applyAlignment="1">
      <alignment horizontal="center" vertical="center"/>
    </xf>
    <xf numFmtId="172" fontId="13" fillId="6" borderId="2" xfId="40" applyNumberFormat="1" applyFont="1" applyFill="1" applyBorder="1" applyAlignment="1">
      <alignment horizontal="center" vertical="center"/>
    </xf>
    <xf numFmtId="172" fontId="20" fillId="4" borderId="2"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0" fontId="13" fillId="2" borderId="9" xfId="0" applyFont="1" applyFill="1" applyBorder="1" applyAlignment="1">
      <alignment horizontal="left" vertical="center"/>
    </xf>
    <xf numFmtId="173" fontId="13" fillId="6" borderId="16" xfId="6" applyNumberFormat="1" applyFont="1" applyFill="1" applyBorder="1" applyAlignment="1">
      <alignment horizontal="center"/>
    </xf>
    <xf numFmtId="3" fontId="14" fillId="0" borderId="0" xfId="0" applyNumberFormat="1" applyFont="1"/>
    <xf numFmtId="0" fontId="13" fillId="0" borderId="0" xfId="0" applyFont="1" applyAlignment="1">
      <alignment wrapText="1"/>
    </xf>
    <xf numFmtId="2" fontId="13" fillId="0" borderId="0" xfId="0" applyNumberFormat="1" applyFont="1"/>
    <xf numFmtId="0" fontId="13" fillId="0" borderId="0" xfId="0" applyFont="1" applyBorder="1" applyAlignment="1">
      <alignment horizontal="left" vertical="center" wrapText="1"/>
    </xf>
    <xf numFmtId="172" fontId="20" fillId="4" borderId="0" xfId="40" applyNumberFormat="1" applyFont="1" applyFill="1" applyBorder="1" applyAlignment="1">
      <alignment horizontal="center" vertical="center"/>
    </xf>
    <xf numFmtId="0" fontId="13" fillId="2" borderId="0" xfId="0" applyFont="1" applyFill="1" applyBorder="1" applyAlignment="1">
      <alignment horizontal="left" vertical="center"/>
    </xf>
    <xf numFmtId="0" fontId="13" fillId="0" borderId="0" xfId="0" applyFont="1" applyAlignment="1">
      <alignment horizontal="center" vertical="center"/>
    </xf>
    <xf numFmtId="0" fontId="0" fillId="0" borderId="0" xfId="0" applyAlignment="1">
      <alignment wrapText="1"/>
    </xf>
    <xf numFmtId="0" fontId="0" fillId="0" borderId="0" xfId="0" applyAlignment="1">
      <alignment horizontal="left" wrapText="1" indent="1"/>
    </xf>
    <xf numFmtId="0" fontId="7" fillId="0" borderId="0" xfId="0" applyFont="1" applyAlignment="1">
      <alignment wrapText="1"/>
    </xf>
    <xf numFmtId="0" fontId="7" fillId="0" borderId="0" xfId="0" applyFont="1"/>
    <xf numFmtId="0" fontId="7" fillId="0" borderId="0" xfId="0" applyFont="1" applyAlignment="1">
      <alignment horizontal="left" wrapText="1" indent="2"/>
    </xf>
    <xf numFmtId="0" fontId="0" fillId="0" borderId="0" xfId="0" applyAlignment="1">
      <alignment horizontal="left" wrapText="1"/>
    </xf>
    <xf numFmtId="0" fontId="13" fillId="6" borderId="0" xfId="0" applyFont="1" applyFill="1" applyBorder="1" applyAlignment="1">
      <alignment horizontal="center" vertical="center"/>
    </xf>
    <xf numFmtId="166" fontId="13" fillId="6" borderId="0" xfId="40" applyFont="1" applyFill="1" applyBorder="1" applyAlignment="1">
      <alignment horizontal="center" vertical="center"/>
    </xf>
    <xf numFmtId="0" fontId="13" fillId="2" borderId="3" xfId="0" applyFont="1" applyFill="1" applyBorder="1" applyAlignment="1">
      <alignment vertical="center"/>
    </xf>
    <xf numFmtId="0" fontId="13" fillId="2" borderId="3" xfId="0" applyFont="1" applyFill="1" applyBorder="1" applyAlignment="1">
      <alignment wrapText="1"/>
    </xf>
    <xf numFmtId="172" fontId="13" fillId="6" borderId="3" xfId="0" applyNumberFormat="1" applyFont="1" applyFill="1" applyBorder="1" applyAlignment="1">
      <alignment horizontal="center" vertical="center"/>
    </xf>
    <xf numFmtId="167" fontId="13" fillId="6" borderId="3" xfId="5" applyNumberFormat="1" applyFont="1" applyFill="1" applyBorder="1" applyAlignment="1">
      <alignment horizontal="center" vertical="center"/>
    </xf>
    <xf numFmtId="172" fontId="20" fillId="4" borderId="3" xfId="0" applyNumberFormat="1" applyFont="1" applyFill="1" applyBorder="1" applyAlignment="1">
      <alignment horizontal="center" vertical="center"/>
    </xf>
    <xf numFmtId="172" fontId="13" fillId="2" borderId="3" xfId="0" applyNumberFormat="1" applyFont="1" applyFill="1" applyBorder="1" applyAlignment="1">
      <alignment horizontal="center" vertical="center"/>
    </xf>
    <xf numFmtId="167" fontId="13" fillId="2" borderId="3" xfId="5" applyNumberFormat="1" applyFont="1" applyFill="1" applyBorder="1" applyAlignment="1">
      <alignment horizontal="center" vertical="center"/>
    </xf>
    <xf numFmtId="0" fontId="13" fillId="6" borderId="3" xfId="0" applyFont="1" applyFill="1" applyBorder="1" applyAlignment="1">
      <alignment horizontal="center" vertical="center"/>
    </xf>
    <xf numFmtId="0" fontId="14" fillId="2" borderId="3" xfId="0" applyFont="1" applyFill="1" applyBorder="1" applyAlignment="1">
      <alignment vertical="center"/>
    </xf>
    <xf numFmtId="0" fontId="14" fillId="2" borderId="3" xfId="0" applyFont="1" applyFill="1" applyBorder="1" applyAlignment="1">
      <alignment wrapText="1"/>
    </xf>
    <xf numFmtId="172" fontId="14" fillId="6" borderId="3" xfId="0" applyNumberFormat="1" applyFont="1" applyFill="1" applyBorder="1" applyAlignment="1">
      <alignment horizontal="center" vertical="center"/>
    </xf>
    <xf numFmtId="0" fontId="14" fillId="6" borderId="3" xfId="0" applyFont="1" applyFill="1" applyBorder="1" applyAlignment="1">
      <alignment horizontal="center" vertical="center"/>
    </xf>
    <xf numFmtId="172" fontId="16" fillId="4" borderId="3" xfId="0" applyNumberFormat="1" applyFont="1" applyFill="1" applyBorder="1" applyAlignment="1">
      <alignment horizontal="center" vertical="center"/>
    </xf>
    <xf numFmtId="0" fontId="13" fillId="2" borderId="3" xfId="0" applyFont="1" applyFill="1" applyBorder="1"/>
    <xf numFmtId="9" fontId="13" fillId="6" borderId="3" xfId="0" applyNumberFormat="1" applyFont="1" applyFill="1" applyBorder="1" applyAlignment="1">
      <alignment horizontal="center" vertical="center"/>
    </xf>
    <xf numFmtId="172" fontId="13" fillId="6" borderId="3" xfId="40" applyNumberFormat="1" applyFont="1" applyFill="1" applyBorder="1" applyAlignment="1">
      <alignment horizontal="center" vertical="center"/>
    </xf>
    <xf numFmtId="0" fontId="14" fillId="0" borderId="3" xfId="0" applyFont="1" applyBorder="1"/>
    <xf numFmtId="167" fontId="14" fillId="6" borderId="3" xfId="5" applyNumberFormat="1" applyFont="1" applyFill="1" applyBorder="1" applyAlignment="1">
      <alignment horizontal="center" vertic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2" borderId="0" xfId="0" applyFont="1" applyFill="1" applyBorder="1" applyAlignment="1">
      <alignment horizontal="left" vertical="center"/>
    </xf>
    <xf numFmtId="0" fontId="13" fillId="2" borderId="9" xfId="0" applyFont="1" applyFill="1" applyBorder="1" applyAlignment="1">
      <alignment horizontal="left" vertical="center"/>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cellXfs>
  <cellStyles count="41">
    <cellStyle name="Comma" xfId="5" builtinId="3"/>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xfId="40" builtinId="4"/>
    <cellStyle name="Currency 2" xfId="26" xr:uid="{00000000-0005-0000-0000-000005000000}"/>
    <cellStyle name="Euro" xfId="11" xr:uid="{00000000-0005-0000-0000-000006000000}"/>
    <cellStyle name="Millares 2" xfId="9" xr:uid="{00000000-0005-0000-0000-000008000000}"/>
    <cellStyle name="Millares 3" xfId="1" xr:uid="{00000000-0005-0000-0000-000009000000}"/>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xfId="6" builtinId="5"/>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4-B983-47EB-9613-9477F99DB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B2-4BAA-93BD-10F3FAFBFF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B2-4BAA-93BD-10F3FAFBFF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B2-4BAA-93BD-10F3FAFBFF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B2-4BAA-93BD-10F3FAFBFF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B2-4BAA-93BD-10F3FAFBFF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B4-48EF-B5A8-C1310AD3A5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85-4F15-AA43-938738FD49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99B-4709-B324-E7C13CB39E4E}"/>
              </c:ext>
            </c:extLst>
          </c:dPt>
          <c:cat>
            <c:strRef>
              <c:f>Inversion!$B$6:$B$14</c:f>
              <c:strCache>
                <c:ptCount val="9"/>
                <c:pt idx="0">
                  <c:v> Licencias</c:v>
                </c:pt>
                <c:pt idx="3">
                  <c:v>Tecnología </c:v>
                </c:pt>
                <c:pt idx="5">
                  <c:v>Servicios</c:v>
                </c:pt>
                <c:pt idx="8">
                  <c:v>Otros</c:v>
                </c:pt>
              </c:strCache>
            </c:strRef>
          </c:cat>
          <c:val>
            <c:numRef>
              <c:f>Inversion!$G$6:$G$14</c:f>
              <c:numCache>
                <c:formatCode>_-"$"* #,##0_-;\-"$"* #,##0_-;_-"$"* "-"??_-;_-@_-</c:formatCode>
                <c:ptCount val="9"/>
                <c:pt idx="0">
                  <c:v>31000000</c:v>
                </c:pt>
                <c:pt idx="1">
                  <c:v>3200000000</c:v>
                </c:pt>
                <c:pt idx="4">
                  <c:v>0</c:v>
                </c:pt>
                <c:pt idx="5">
                  <c:v>80000000</c:v>
                </c:pt>
                <c:pt idx="6">
                  <c:v>30000000</c:v>
                </c:pt>
                <c:pt idx="7">
                  <c:v>1080000000</c:v>
                </c:pt>
                <c:pt idx="8">
                  <c:v>0</c:v>
                </c:pt>
              </c:numCache>
            </c:numRef>
          </c:val>
          <c:extLst>
            <c:ext xmlns:c16="http://schemas.microsoft.com/office/drawing/2014/chart" uri="{C3380CC4-5D6E-409C-BE32-E72D297353CC}">
              <c16:uniqueId val="{00000002-B983-47EB-9613-9477F99DB9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2016</c:v>
                </c:pt>
                <c:pt idx="1">
                  <c:v>2020</c:v>
                </c:pt>
                <c:pt idx="2">
                  <c:v>2021</c:v>
                </c:pt>
                <c:pt idx="3">
                  <c:v>2022</c:v>
                </c:pt>
                <c:pt idx="4">
                  <c:v>2023</c:v>
                </c:pt>
                <c:pt idx="5">
                  <c:v>2024</c:v>
                </c:pt>
                <c:pt idx="6">
                  <c:v>2025</c:v>
                </c:pt>
                <c:pt idx="7">
                  <c:v>2026</c:v>
                </c:pt>
                <c:pt idx="8">
                  <c:v>2027</c:v>
                </c:pt>
                <c:pt idx="9">
                  <c:v>2028</c:v>
                </c:pt>
                <c:pt idx="10">
                  <c:v>2029</c:v>
                </c:pt>
              </c:numCache>
            </c:numRef>
          </c:cat>
          <c:val>
            <c:numRef>
              <c:f>'EVALUACION FINANCIERA'!$D$20:$M$20</c:f>
              <c:numCache>
                <c:formatCode>_-"$"* #,##0_-;\-"$"* #,##0_-;_-"$"* "-"??_-;_-@_-</c:formatCode>
                <c:ptCount val="10"/>
                <c:pt idx="0">
                  <c:v>-4421000000</c:v>
                </c:pt>
                <c:pt idx="1">
                  <c:v>2878057605.7605896</c:v>
                </c:pt>
                <c:pt idx="2">
                  <c:v>9446155369.6323853</c:v>
                </c:pt>
                <c:pt idx="3">
                  <c:v>15356447765.048126</c:v>
                </c:pt>
                <c:pt idx="4">
                  <c:v>20676242900.435852</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228600</xdr:colOff>
      <xdr:row>2</xdr:row>
      <xdr:rowOff>23812</xdr:rowOff>
    </xdr:from>
    <xdr:to>
      <xdr:col>12</xdr:col>
      <xdr:colOff>561975</xdr:colOff>
      <xdr:row>15</xdr:row>
      <xdr:rowOff>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70741752-4845-4680-A9C9-1897E76D8E51}" userId="S::laura.a.cortes@accenture.com::17bfd259-10c6-4ceb-92c5-f8a1ecd26a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2" dT="2020-05-08T01:15:12.45" personId="{70741752-4845-4680-A9C9-1897E76D8E51}" id="{D5D1C0D6-5715-4436-8F3B-F62FCDC6DEB4}">
    <text>https://planeacion.uniandes.edu.co/en/universidad-en-cifras/universidad-en-cifras</text>
  </threadedComment>
  <threadedComment ref="D12" dT="2020-05-08T01:15:18.35" personId="{70741752-4845-4680-A9C9-1897E76D8E51}" id="{F72C6D8B-6A71-4C40-BDE1-1BBFAE6DB1ED}">
    <text>https://vde.uniandes.edu.co/images/esal/7EstadosfinancierosUniandes2018.pdf</text>
  </threadedComment>
  <threadedComment ref="D18" dT="2020-05-08T01:15:18.35" personId="{70741752-4845-4680-A9C9-1897E76D8E51}" id="{76FCFB36-1DE4-479D-895E-9E1A0F7E40F7}">
    <text>https://vde.uniandes.edu.co/images/esal/7EstadosfinancierosUniandes2018.pdf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E3AAB-6E11-4699-9AD9-7740ED6D692E}">
  <dimension ref="C3:D26"/>
  <sheetViews>
    <sheetView workbookViewId="0">
      <selection activeCell="C26" sqref="C26"/>
    </sheetView>
  </sheetViews>
  <sheetFormatPr defaultRowHeight="12.5" x14ac:dyDescent="0.25"/>
  <cols>
    <col min="3" max="3" width="68.81640625" style="132" bestFit="1" customWidth="1"/>
  </cols>
  <sheetData>
    <row r="3" spans="3:4" x14ac:dyDescent="0.25">
      <c r="C3" s="134"/>
    </row>
    <row r="8" spans="3:4" x14ac:dyDescent="0.25">
      <c r="C8" s="134" t="s">
        <v>65</v>
      </c>
    </row>
    <row r="9" spans="3:4" x14ac:dyDescent="0.25">
      <c r="C9" s="132" t="s">
        <v>60</v>
      </c>
    </row>
    <row r="10" spans="3:4" x14ac:dyDescent="0.25">
      <c r="C10" s="133" t="s">
        <v>61</v>
      </c>
    </row>
    <row r="11" spans="3:4" ht="25" x14ac:dyDescent="0.25">
      <c r="C11" s="133" t="s">
        <v>62</v>
      </c>
    </row>
    <row r="12" spans="3:4" x14ac:dyDescent="0.25">
      <c r="C12" s="133" t="s">
        <v>63</v>
      </c>
    </row>
    <row r="14" spans="3:4" x14ac:dyDescent="0.25">
      <c r="C14" s="137" t="s">
        <v>61</v>
      </c>
    </row>
    <row r="15" spans="3:4" x14ac:dyDescent="0.25">
      <c r="C15" s="136" t="s">
        <v>64</v>
      </c>
    </row>
    <row r="16" spans="3:4" x14ac:dyDescent="0.25">
      <c r="C16" s="136" t="s">
        <v>67</v>
      </c>
      <c r="D16" s="135"/>
    </row>
    <row r="17" spans="3:3" ht="25" x14ac:dyDescent="0.25">
      <c r="C17" s="136" t="s">
        <v>66</v>
      </c>
    </row>
    <row r="18" spans="3:3" ht="25" x14ac:dyDescent="0.25">
      <c r="C18" s="136" t="s">
        <v>68</v>
      </c>
    </row>
    <row r="19" spans="3:3" x14ac:dyDescent="0.25">
      <c r="C19" s="134"/>
    </row>
    <row r="20" spans="3:3" ht="25" x14ac:dyDescent="0.25">
      <c r="C20" s="137" t="s">
        <v>62</v>
      </c>
    </row>
    <row r="21" spans="3:3" x14ac:dyDescent="0.25">
      <c r="C21" s="133" t="s">
        <v>70</v>
      </c>
    </row>
    <row r="22" spans="3:3" ht="25" x14ac:dyDescent="0.25">
      <c r="C22" s="133" t="s">
        <v>71</v>
      </c>
    </row>
    <row r="24" spans="3:3" x14ac:dyDescent="0.25">
      <c r="C24" s="137" t="s">
        <v>63</v>
      </c>
    </row>
    <row r="25" spans="3:3" x14ac:dyDescent="0.25">
      <c r="C25" s="133" t="s">
        <v>75</v>
      </c>
    </row>
    <row r="26" spans="3:3" x14ac:dyDescent="0.25">
      <c r="C26" s="133" t="s">
        <v>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8"/>
  <sheetViews>
    <sheetView showGridLines="0" topLeftCell="B22" zoomScaleNormal="100" workbookViewId="0">
      <selection activeCell="D43" sqref="D43:H43"/>
    </sheetView>
  </sheetViews>
  <sheetFormatPr defaultColWidth="11.453125" defaultRowHeight="13" x14ac:dyDescent="0.3"/>
  <cols>
    <col min="1" max="1" width="2.36328125" style="4" customWidth="1"/>
    <col min="2" max="2" width="37.36328125" style="4" bestFit="1" customWidth="1"/>
    <col min="3" max="3" width="15.90625" style="4" bestFit="1" customWidth="1"/>
    <col min="4" max="4" width="19.453125" style="4" bestFit="1" customWidth="1"/>
    <col min="5" max="8" width="14.90625" style="4" bestFit="1" customWidth="1"/>
    <col min="9" max="9" width="12.90625" style="4" bestFit="1" customWidth="1"/>
    <col min="10" max="16384" width="11.453125" style="4"/>
  </cols>
  <sheetData>
    <row r="2" spans="2:13" ht="13.5" thickBot="1" x14ac:dyDescent="0.35"/>
    <row r="3" spans="2:13" ht="13.5" thickBot="1" x14ac:dyDescent="0.35">
      <c r="B3" s="163" t="s">
        <v>9</v>
      </c>
      <c r="C3" s="164"/>
      <c r="D3" s="17"/>
      <c r="E3" s="168" t="s">
        <v>40</v>
      </c>
      <c r="F3" s="169"/>
      <c r="G3" s="169"/>
      <c r="H3" s="169"/>
      <c r="I3" s="169"/>
      <c r="J3" s="169"/>
      <c r="K3" s="169"/>
      <c r="L3" s="169"/>
      <c r="M3" s="170"/>
    </row>
    <row r="4" spans="2:13" x14ac:dyDescent="0.3">
      <c r="B4" s="18"/>
      <c r="C4" s="6"/>
      <c r="D4" s="6"/>
      <c r="E4" s="6"/>
      <c r="F4" s="6"/>
    </row>
    <row r="5" spans="2:13" x14ac:dyDescent="0.3">
      <c r="B5" s="160" t="s">
        <v>14</v>
      </c>
      <c r="C5" s="161"/>
      <c r="D5" s="161"/>
      <c r="E5" s="161"/>
      <c r="F5" s="161"/>
      <c r="G5" s="161"/>
      <c r="H5" s="161"/>
      <c r="I5" s="161"/>
      <c r="J5" s="161"/>
      <c r="K5" s="161"/>
      <c r="L5" s="161"/>
      <c r="M5" s="162"/>
    </row>
    <row r="6" spans="2:13" x14ac:dyDescent="0.3">
      <c r="B6" s="18" t="s">
        <v>38</v>
      </c>
      <c r="C6" s="7"/>
      <c r="D6" s="7"/>
      <c r="E6" s="7"/>
      <c r="F6" s="7"/>
      <c r="G6" s="7"/>
      <c r="H6" s="7"/>
      <c r="I6" s="7"/>
      <c r="J6" s="7"/>
      <c r="K6" s="7"/>
      <c r="L6" s="7"/>
      <c r="M6" s="9"/>
    </row>
    <row r="7" spans="2:13" ht="13.5" thickBot="1" x14ac:dyDescent="0.35">
      <c r="B7" s="10"/>
      <c r="C7" s="7"/>
      <c r="D7" s="7"/>
      <c r="E7" s="7"/>
      <c r="F7" s="7"/>
      <c r="G7" s="7"/>
      <c r="H7" s="7"/>
      <c r="I7" s="7"/>
      <c r="J7" s="7"/>
      <c r="K7" s="7"/>
      <c r="L7" s="7"/>
      <c r="M7" s="9"/>
    </row>
    <row r="8" spans="2:13" ht="13.5" thickBot="1" x14ac:dyDescent="0.35">
      <c r="B8" s="8" t="s">
        <v>26</v>
      </c>
      <c r="C8" s="124">
        <v>0.111</v>
      </c>
      <c r="D8" s="7" t="s">
        <v>27</v>
      </c>
      <c r="E8" s="7"/>
      <c r="F8" s="7"/>
      <c r="G8" s="7"/>
      <c r="H8" s="7"/>
      <c r="I8" s="7"/>
      <c r="J8" s="7"/>
      <c r="K8" s="7"/>
      <c r="L8" s="7"/>
      <c r="M8" s="9"/>
    </row>
    <row r="9" spans="2:13" ht="3.75" customHeight="1" x14ac:dyDescent="0.3">
      <c r="B9" s="10"/>
      <c r="C9" s="7"/>
      <c r="D9" s="7"/>
      <c r="E9" s="7"/>
      <c r="F9" s="7"/>
      <c r="G9" s="7"/>
      <c r="H9" s="7"/>
      <c r="I9" s="7"/>
      <c r="J9" s="7"/>
      <c r="K9" s="7"/>
      <c r="L9" s="7"/>
      <c r="M9" s="9"/>
    </row>
    <row r="10" spans="2:13" x14ac:dyDescent="0.3">
      <c r="B10" s="19" t="s">
        <v>29</v>
      </c>
      <c r="C10" s="64">
        <v>2016</v>
      </c>
      <c r="D10" s="64">
        <v>2020</v>
      </c>
      <c r="E10" s="64">
        <v>2021</v>
      </c>
      <c r="F10" s="64">
        <v>2022</v>
      </c>
      <c r="G10" s="64">
        <v>2023</v>
      </c>
      <c r="H10" s="64">
        <v>2024</v>
      </c>
      <c r="I10" s="64">
        <v>2025</v>
      </c>
      <c r="J10" s="64">
        <v>2026</v>
      </c>
      <c r="K10" s="64">
        <v>2027</v>
      </c>
      <c r="L10" s="64">
        <v>2028</v>
      </c>
      <c r="M10" s="64">
        <v>2029</v>
      </c>
    </row>
    <row r="11" spans="2:13" x14ac:dyDescent="0.3">
      <c r="B11" s="19"/>
      <c r="C11" s="64"/>
      <c r="D11" s="64">
        <v>0</v>
      </c>
      <c r="E11" s="64">
        <v>1</v>
      </c>
      <c r="F11" s="64">
        <v>2</v>
      </c>
      <c r="G11" s="64">
        <v>3</v>
      </c>
      <c r="H11" s="64">
        <v>4</v>
      </c>
      <c r="I11" s="64">
        <v>5</v>
      </c>
      <c r="J11" s="64">
        <v>6</v>
      </c>
      <c r="K11" s="64">
        <v>7</v>
      </c>
      <c r="L11" s="64">
        <v>8</v>
      </c>
      <c r="M11" s="64">
        <v>9</v>
      </c>
    </row>
    <row r="12" spans="2:13" x14ac:dyDescent="0.3">
      <c r="B12" s="15" t="s">
        <v>10</v>
      </c>
      <c r="C12" s="65">
        <v>3100</v>
      </c>
      <c r="D12" s="66">
        <v>3100</v>
      </c>
      <c r="E12" s="66">
        <v>3100</v>
      </c>
      <c r="F12" s="66">
        <v>3100</v>
      </c>
      <c r="G12" s="66">
        <v>3100</v>
      </c>
      <c r="H12" s="66">
        <v>3100</v>
      </c>
      <c r="I12" s="66">
        <v>3100</v>
      </c>
      <c r="J12" s="66">
        <v>3100</v>
      </c>
      <c r="K12" s="66">
        <v>3100</v>
      </c>
      <c r="L12" s="66">
        <v>3100</v>
      </c>
      <c r="M12" s="67">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60" t="s">
        <v>42</v>
      </c>
      <c r="C15" s="161"/>
      <c r="D15" s="161"/>
      <c r="E15" s="161"/>
      <c r="F15" s="161"/>
      <c r="G15" s="161"/>
      <c r="H15" s="161"/>
      <c r="I15" s="161"/>
      <c r="J15" s="161"/>
      <c r="K15" s="161"/>
      <c r="L15" s="161"/>
      <c r="M15" s="162"/>
    </row>
    <row r="16" spans="2:13" x14ac:dyDescent="0.3">
      <c r="B16" s="41"/>
      <c r="C16" s="36"/>
      <c r="D16" s="36"/>
      <c r="E16" s="30"/>
      <c r="F16" s="36"/>
      <c r="G16" s="30"/>
      <c r="H16" s="36"/>
      <c r="I16" s="30"/>
      <c r="J16" s="36"/>
      <c r="K16" s="30"/>
      <c r="L16" s="36"/>
      <c r="M16" s="31"/>
    </row>
    <row r="17" spans="2:13" x14ac:dyDescent="0.3">
      <c r="B17" s="40" t="s">
        <v>28</v>
      </c>
      <c r="C17" s="37">
        <f>+C$10</f>
        <v>2016</v>
      </c>
      <c r="D17" s="37">
        <f t="shared" ref="D17:M17" si="0">+D$10</f>
        <v>2020</v>
      </c>
      <c r="E17" s="6">
        <f t="shared" si="0"/>
        <v>2021</v>
      </c>
      <c r="F17" s="37">
        <f t="shared" si="0"/>
        <v>2022</v>
      </c>
      <c r="G17" s="6">
        <f t="shared" si="0"/>
        <v>2023</v>
      </c>
      <c r="H17" s="37">
        <f t="shared" si="0"/>
        <v>2024</v>
      </c>
      <c r="I17" s="6">
        <f t="shared" si="0"/>
        <v>2025</v>
      </c>
      <c r="J17" s="37">
        <f t="shared" si="0"/>
        <v>2026</v>
      </c>
      <c r="K17" s="6">
        <f t="shared" si="0"/>
        <v>2027</v>
      </c>
      <c r="L17" s="37">
        <f t="shared" si="0"/>
        <v>2028</v>
      </c>
      <c r="M17" s="16">
        <f t="shared" si="0"/>
        <v>2029</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20</v>
      </c>
      <c r="C19" s="37"/>
      <c r="D19" s="37"/>
      <c r="E19" s="6"/>
      <c r="F19" s="38"/>
      <c r="G19" s="6"/>
      <c r="H19" s="37"/>
      <c r="I19" s="6"/>
      <c r="J19" s="37"/>
      <c r="K19" s="6"/>
      <c r="L19" s="37"/>
      <c r="M19" s="16"/>
    </row>
    <row r="20" spans="2:13" x14ac:dyDescent="0.3">
      <c r="B20" s="10" t="s">
        <v>92</v>
      </c>
      <c r="C20" s="68"/>
      <c r="D20" s="68"/>
      <c r="E20" s="68">
        <v>8142365000</v>
      </c>
      <c r="F20" s="68">
        <f>E20</f>
        <v>8142365000</v>
      </c>
      <c r="G20" s="68">
        <f>F20</f>
        <v>8142365000</v>
      </c>
      <c r="H20" s="68">
        <f>G20</f>
        <v>8142365000</v>
      </c>
      <c r="I20" s="69"/>
      <c r="J20" s="68"/>
      <c r="K20" s="69"/>
      <c r="L20" s="68"/>
      <c r="M20" s="70"/>
    </row>
    <row r="21" spans="2:13" x14ac:dyDescent="0.3">
      <c r="B21" s="10" t="s">
        <v>4</v>
      </c>
      <c r="C21" s="68"/>
      <c r="D21" s="68"/>
      <c r="E21" s="68"/>
      <c r="F21" s="68"/>
      <c r="G21" s="68"/>
      <c r="H21" s="68"/>
      <c r="I21" s="69"/>
      <c r="J21" s="68"/>
      <c r="K21" s="69"/>
      <c r="L21" s="68"/>
      <c r="M21" s="70"/>
    </row>
    <row r="22" spans="2:13" x14ac:dyDescent="0.3">
      <c r="B22" s="10" t="s">
        <v>15</v>
      </c>
      <c r="C22" s="68"/>
      <c r="D22" s="68"/>
      <c r="E22" s="69"/>
      <c r="F22" s="68"/>
      <c r="G22" s="69"/>
      <c r="H22" s="68"/>
      <c r="I22" s="69"/>
      <c r="J22" s="68"/>
      <c r="K22" s="69"/>
      <c r="L22" s="68"/>
      <c r="M22" s="70"/>
    </row>
    <row r="23" spans="2:13" x14ac:dyDescent="0.3">
      <c r="B23" s="10" t="s">
        <v>11</v>
      </c>
      <c r="C23" s="71"/>
      <c r="D23" s="71">
        <v>1</v>
      </c>
      <c r="E23" s="71">
        <v>1</v>
      </c>
      <c r="F23" s="71">
        <v>1</v>
      </c>
      <c r="G23" s="71">
        <v>1</v>
      </c>
      <c r="H23" s="71">
        <v>1</v>
      </c>
      <c r="I23" s="72"/>
      <c r="J23" s="71"/>
      <c r="K23" s="72"/>
      <c r="L23" s="71"/>
      <c r="M23" s="73"/>
    </row>
    <row r="24" spans="2:13" x14ac:dyDescent="0.3">
      <c r="B24" s="10" t="s">
        <v>12</v>
      </c>
      <c r="C24" s="71"/>
      <c r="D24" s="71"/>
      <c r="E24" s="72"/>
      <c r="F24" s="71"/>
      <c r="G24" s="72"/>
      <c r="H24" s="71"/>
      <c r="I24" s="72"/>
      <c r="J24" s="71"/>
      <c r="K24" s="72"/>
      <c r="L24" s="71"/>
      <c r="M24" s="73"/>
    </row>
    <row r="25" spans="2:13" x14ac:dyDescent="0.3">
      <c r="B25" s="10" t="s">
        <v>13</v>
      </c>
      <c r="C25" s="71"/>
      <c r="D25" s="71"/>
      <c r="E25" s="72"/>
      <c r="F25" s="71"/>
      <c r="G25" s="72"/>
      <c r="H25" s="71"/>
      <c r="I25" s="72"/>
      <c r="J25" s="71"/>
      <c r="K25" s="72"/>
      <c r="L25" s="71"/>
      <c r="M25" s="73"/>
    </row>
    <row r="26" spans="2:13" x14ac:dyDescent="0.3">
      <c r="B26" s="33" t="s">
        <v>16</v>
      </c>
      <c r="C26" s="61">
        <f>C20*C23+C21*C24+C22*C25</f>
        <v>0</v>
      </c>
      <c r="D26" s="61">
        <f>D20*D23+D21*D24+D22*D25</f>
        <v>0</v>
      </c>
      <c r="E26" s="62">
        <f t="shared" ref="E26:M26" si="2">E20*E23+E21*E24+E22*E25</f>
        <v>8142365000</v>
      </c>
      <c r="F26" s="61">
        <f t="shared" si="2"/>
        <v>8142365000</v>
      </c>
      <c r="G26" s="62">
        <f t="shared" si="2"/>
        <v>8142365000</v>
      </c>
      <c r="H26" s="61">
        <f t="shared" si="2"/>
        <v>8142365000</v>
      </c>
      <c r="I26" s="62">
        <f t="shared" si="2"/>
        <v>0</v>
      </c>
      <c r="J26" s="61">
        <f t="shared" si="2"/>
        <v>0</v>
      </c>
      <c r="K26" s="62">
        <f t="shared" si="2"/>
        <v>0</v>
      </c>
      <c r="L26" s="61">
        <f t="shared" si="2"/>
        <v>0</v>
      </c>
      <c r="M26" s="63">
        <f t="shared" si="2"/>
        <v>0</v>
      </c>
    </row>
    <row r="27" spans="2:13" x14ac:dyDescent="0.3">
      <c r="B27" s="33" t="s">
        <v>21</v>
      </c>
      <c r="C27" s="37"/>
      <c r="D27" s="37"/>
      <c r="E27" s="29"/>
      <c r="F27" s="38"/>
      <c r="G27" s="29"/>
      <c r="H27" s="38"/>
      <c r="I27" s="29"/>
      <c r="J27" s="37"/>
      <c r="K27" s="6"/>
      <c r="L27" s="37"/>
      <c r="M27" s="16"/>
    </row>
    <row r="28" spans="2:13" x14ac:dyDescent="0.3">
      <c r="B28" s="34" t="s">
        <v>58</v>
      </c>
      <c r="C28" s="68"/>
      <c r="D28" s="68">
        <f>+'Calculo Riesgos y Costos'!$F$12</f>
        <v>209300000000</v>
      </c>
      <c r="E28" s="68">
        <f>+'Calculo Riesgos y Costos'!$F$12</f>
        <v>209300000000</v>
      </c>
      <c r="F28" s="68">
        <f>+'Calculo Riesgos y Costos'!$F$12</f>
        <v>209300000000</v>
      </c>
      <c r="G28" s="68">
        <f>+'Calculo Riesgos y Costos'!$F$12</f>
        <v>209300000000</v>
      </c>
      <c r="H28" s="68">
        <f>+'Calculo Riesgos y Costos'!$F$12</f>
        <v>209300000000</v>
      </c>
      <c r="I28" s="69"/>
      <c r="J28" s="68"/>
      <c r="K28" s="69"/>
      <c r="L28" s="68"/>
      <c r="M28" s="70"/>
    </row>
    <row r="29" spans="2:13" x14ac:dyDescent="0.3">
      <c r="B29" s="34" t="s">
        <v>59</v>
      </c>
      <c r="C29" s="68"/>
      <c r="D29" s="68"/>
      <c r="E29" s="69"/>
      <c r="F29" s="68"/>
      <c r="G29" s="69"/>
      <c r="H29" s="68"/>
      <c r="I29" s="69"/>
      <c r="J29" s="68"/>
      <c r="K29" s="69"/>
      <c r="L29" s="68"/>
      <c r="M29" s="70"/>
    </row>
    <row r="30" spans="2:13" x14ac:dyDescent="0.3">
      <c r="B30" s="34" t="s">
        <v>0</v>
      </c>
      <c r="C30" s="68"/>
      <c r="D30" s="68"/>
      <c r="E30" s="69"/>
      <c r="F30" s="68"/>
      <c r="G30" s="69"/>
      <c r="H30" s="68"/>
      <c r="I30" s="69"/>
      <c r="J30" s="68"/>
      <c r="K30" s="69"/>
      <c r="L30" s="68"/>
      <c r="M30" s="70"/>
    </row>
    <row r="31" spans="2:13" x14ac:dyDescent="0.3">
      <c r="B31" s="34" t="s">
        <v>1</v>
      </c>
      <c r="C31" s="68"/>
      <c r="D31" s="68"/>
      <c r="E31" s="69"/>
      <c r="F31" s="68"/>
      <c r="G31" s="69"/>
      <c r="H31" s="68"/>
      <c r="I31" s="69"/>
      <c r="J31" s="68"/>
      <c r="K31" s="69"/>
      <c r="L31" s="68"/>
      <c r="M31" s="70"/>
    </row>
    <row r="32" spans="2:13" x14ac:dyDescent="0.3">
      <c r="B32" s="34" t="s">
        <v>2</v>
      </c>
      <c r="C32" s="68"/>
      <c r="D32" s="68"/>
      <c r="E32" s="69"/>
      <c r="F32" s="68"/>
      <c r="G32" s="69"/>
      <c r="H32" s="68"/>
      <c r="I32" s="69"/>
      <c r="J32" s="68"/>
      <c r="K32" s="69"/>
      <c r="L32" s="68"/>
      <c r="M32" s="70"/>
    </row>
    <row r="33" spans="2:13" x14ac:dyDescent="0.3">
      <c r="B33" s="35" t="s">
        <v>17</v>
      </c>
      <c r="C33" s="61">
        <f>+SUM(C28:C32)</f>
        <v>0</v>
      </c>
      <c r="D33" s="61">
        <f>+SUM(D28:D32)</f>
        <v>209300000000</v>
      </c>
      <c r="E33" s="62">
        <f t="shared" ref="E33:M33" si="3">+SUM(E28:E32)</f>
        <v>209300000000</v>
      </c>
      <c r="F33" s="61">
        <f t="shared" si="3"/>
        <v>209300000000</v>
      </c>
      <c r="G33" s="62">
        <f t="shared" si="3"/>
        <v>209300000000</v>
      </c>
      <c r="H33" s="61">
        <f t="shared" si="3"/>
        <v>209300000000</v>
      </c>
      <c r="I33" s="62">
        <f t="shared" si="3"/>
        <v>0</v>
      </c>
      <c r="J33" s="61">
        <f t="shared" si="3"/>
        <v>0</v>
      </c>
      <c r="K33" s="62">
        <f t="shared" si="3"/>
        <v>0</v>
      </c>
      <c r="L33" s="61">
        <f t="shared" si="3"/>
        <v>0</v>
      </c>
      <c r="M33" s="63">
        <f t="shared" si="3"/>
        <v>0</v>
      </c>
    </row>
    <row r="34" spans="2:13" x14ac:dyDescent="0.3">
      <c r="B34" s="74" t="s">
        <v>43</v>
      </c>
      <c r="C34" s="61">
        <f>+C26+C33</f>
        <v>0</v>
      </c>
      <c r="D34" s="61">
        <f>+D26+D33</f>
        <v>209300000000</v>
      </c>
      <c r="E34" s="62">
        <f t="shared" ref="E34:M34" si="4">+E26+E33</f>
        <v>217442365000</v>
      </c>
      <c r="F34" s="61">
        <f t="shared" si="4"/>
        <v>217442365000</v>
      </c>
      <c r="G34" s="62">
        <f t="shared" si="4"/>
        <v>217442365000</v>
      </c>
      <c r="H34" s="61">
        <f t="shared" si="4"/>
        <v>217442365000</v>
      </c>
      <c r="I34" s="62">
        <f t="shared" si="4"/>
        <v>0</v>
      </c>
      <c r="J34" s="61">
        <f t="shared" si="4"/>
        <v>0</v>
      </c>
      <c r="K34" s="62">
        <f t="shared" si="4"/>
        <v>0</v>
      </c>
      <c r="L34" s="61">
        <f t="shared" si="4"/>
        <v>0</v>
      </c>
      <c r="M34" s="63">
        <f t="shared" si="4"/>
        <v>0</v>
      </c>
    </row>
    <row r="35" spans="2:13" x14ac:dyDescent="0.3">
      <c r="C35" s="5">
        <f>+C26+C34</f>
        <v>0</v>
      </c>
      <c r="D35" s="20"/>
      <c r="E35" s="20"/>
      <c r="F35" s="20"/>
      <c r="G35" s="20"/>
      <c r="H35" s="20"/>
      <c r="I35" s="20"/>
    </row>
    <row r="36" spans="2:13" x14ac:dyDescent="0.3">
      <c r="B36" s="165" t="s">
        <v>3</v>
      </c>
      <c r="C36" s="166"/>
      <c r="D36" s="166"/>
      <c r="E36" s="166"/>
      <c r="F36" s="166"/>
      <c r="G36" s="166"/>
      <c r="H36" s="166"/>
      <c r="I36" s="166"/>
      <c r="J36" s="166"/>
      <c r="K36" s="166"/>
      <c r="L36" s="166"/>
      <c r="M36" s="167"/>
    </row>
    <row r="37" spans="2:13" ht="12.75" customHeight="1" x14ac:dyDescent="0.3">
      <c r="B37" s="158" t="s">
        <v>28</v>
      </c>
      <c r="C37" s="14">
        <f>+C$10</f>
        <v>2016</v>
      </c>
      <c r="D37" s="42">
        <f t="shared" ref="D37:M37" si="5">+D$10</f>
        <v>2020</v>
      </c>
      <c r="E37" s="14">
        <f t="shared" si="5"/>
        <v>2021</v>
      </c>
      <c r="F37" s="42">
        <f t="shared" si="5"/>
        <v>2022</v>
      </c>
      <c r="G37" s="14">
        <f t="shared" si="5"/>
        <v>2023</v>
      </c>
      <c r="H37" s="42">
        <f t="shared" si="5"/>
        <v>2024</v>
      </c>
      <c r="I37" s="14">
        <f t="shared" si="5"/>
        <v>2025</v>
      </c>
      <c r="J37" s="42">
        <f t="shared" si="5"/>
        <v>2026</v>
      </c>
      <c r="K37" s="14">
        <f t="shared" si="5"/>
        <v>2027</v>
      </c>
      <c r="L37" s="42">
        <f t="shared" si="5"/>
        <v>2028</v>
      </c>
      <c r="M37" s="14">
        <f t="shared" si="5"/>
        <v>2029</v>
      </c>
    </row>
    <row r="38" spans="2:13" x14ac:dyDescent="0.3">
      <c r="B38" s="159"/>
      <c r="C38" s="39">
        <f>+C$11</f>
        <v>0</v>
      </c>
      <c r="D38" s="6">
        <f t="shared" ref="D38:M38" si="6">+D$11</f>
        <v>0</v>
      </c>
      <c r="E38" s="37">
        <f t="shared" si="6"/>
        <v>1</v>
      </c>
      <c r="F38" s="6">
        <f t="shared" si="6"/>
        <v>2</v>
      </c>
      <c r="G38" s="37">
        <f t="shared" si="6"/>
        <v>3</v>
      </c>
      <c r="H38" s="6">
        <f t="shared" si="6"/>
        <v>4</v>
      </c>
      <c r="I38" s="37">
        <f t="shared" si="6"/>
        <v>5</v>
      </c>
      <c r="J38" s="6">
        <f t="shared" si="6"/>
        <v>6</v>
      </c>
      <c r="K38" s="37">
        <f t="shared" si="6"/>
        <v>7</v>
      </c>
      <c r="L38" s="6">
        <f t="shared" si="6"/>
        <v>8</v>
      </c>
      <c r="M38" s="37">
        <f t="shared" si="6"/>
        <v>9</v>
      </c>
    </row>
    <row r="39" spans="2:13" x14ac:dyDescent="0.3">
      <c r="B39" s="43"/>
      <c r="C39" s="39"/>
      <c r="D39" s="6"/>
      <c r="E39" s="37"/>
      <c r="F39" s="6"/>
      <c r="G39" s="37"/>
      <c r="H39" s="6"/>
      <c r="I39" s="37"/>
      <c r="J39" s="6"/>
      <c r="K39" s="37"/>
      <c r="L39" s="6"/>
      <c r="M39" s="37"/>
    </row>
    <row r="40" spans="2:13" x14ac:dyDescent="0.3">
      <c r="B40" s="32" t="s">
        <v>22</v>
      </c>
      <c r="C40" s="68"/>
      <c r="D40" s="69">
        <f>+Inversion!$G$15</f>
        <v>4421000000</v>
      </c>
      <c r="E40" s="69">
        <f>Inversion!G6</f>
        <v>31000000</v>
      </c>
      <c r="F40" s="69">
        <f>Inversion!G6</f>
        <v>31000000</v>
      </c>
      <c r="G40" s="68">
        <f>Inversion!G6</f>
        <v>31000000</v>
      </c>
      <c r="H40" s="69"/>
      <c r="I40" s="68"/>
      <c r="J40" s="69"/>
      <c r="K40" s="68"/>
      <c r="L40" s="69"/>
      <c r="M40" s="68"/>
    </row>
    <row r="41" spans="2:13" x14ac:dyDescent="0.3">
      <c r="B41" s="32" t="s">
        <v>19</v>
      </c>
      <c r="C41" s="61">
        <f>+C40</f>
        <v>0</v>
      </c>
      <c r="D41" s="61">
        <f t="shared" ref="D41:M41" si="7">+D40</f>
        <v>4421000000</v>
      </c>
      <c r="E41" s="62">
        <f t="shared" si="7"/>
        <v>31000000</v>
      </c>
      <c r="F41" s="61">
        <f t="shared" si="7"/>
        <v>31000000</v>
      </c>
      <c r="G41" s="62">
        <f t="shared" si="7"/>
        <v>31000000</v>
      </c>
      <c r="H41" s="61">
        <f>Inversion!G6</f>
        <v>31000000</v>
      </c>
      <c r="I41" s="62">
        <f t="shared" si="7"/>
        <v>0</v>
      </c>
      <c r="J41" s="61">
        <f t="shared" si="7"/>
        <v>0</v>
      </c>
      <c r="K41" s="62">
        <f t="shared" si="7"/>
        <v>0</v>
      </c>
      <c r="L41" s="61">
        <f t="shared" si="7"/>
        <v>0</v>
      </c>
      <c r="M41" s="63">
        <f t="shared" si="7"/>
        <v>0</v>
      </c>
    </row>
    <row r="42" spans="2:13" x14ac:dyDescent="0.3">
      <c r="B42" s="32" t="s">
        <v>23</v>
      </c>
      <c r="C42" s="37"/>
      <c r="D42" s="6"/>
      <c r="E42" s="37"/>
      <c r="F42" s="6"/>
      <c r="G42" s="37"/>
      <c r="H42" s="6"/>
      <c r="I42" s="37"/>
      <c r="J42" s="6"/>
      <c r="K42" s="37"/>
      <c r="L42" s="6"/>
      <c r="M42" s="37"/>
    </row>
    <row r="43" spans="2:13" x14ac:dyDescent="0.3">
      <c r="B43" s="10" t="s">
        <v>53</v>
      </c>
      <c r="C43" s="68"/>
      <c r="D43" s="68"/>
      <c r="E43" s="68"/>
      <c r="F43" s="68"/>
      <c r="G43" s="68"/>
      <c r="H43" s="68"/>
      <c r="I43" s="68"/>
      <c r="J43" s="69"/>
      <c r="K43" s="68"/>
      <c r="L43" s="69"/>
      <c r="M43" s="68"/>
    </row>
    <row r="44" spans="2:13" x14ac:dyDescent="0.3">
      <c r="B44" s="10" t="s">
        <v>4</v>
      </c>
      <c r="C44" s="68"/>
      <c r="D44" s="68"/>
      <c r="E44" s="68"/>
      <c r="F44" s="68"/>
      <c r="G44" s="68"/>
      <c r="H44" s="68"/>
      <c r="I44" s="68"/>
      <c r="J44" s="69"/>
      <c r="K44" s="68"/>
      <c r="L44" s="69"/>
      <c r="M44" s="68"/>
    </row>
    <row r="45" spans="2:13" x14ac:dyDescent="0.3">
      <c r="B45" s="10" t="s">
        <v>15</v>
      </c>
      <c r="C45" s="68"/>
      <c r="D45" s="69"/>
      <c r="E45" s="68"/>
      <c r="F45" s="69"/>
      <c r="G45" s="68"/>
      <c r="H45" s="69"/>
      <c r="I45" s="68"/>
      <c r="J45" s="69"/>
      <c r="K45" s="68"/>
      <c r="L45" s="69"/>
      <c r="M45" s="68"/>
    </row>
    <row r="46" spans="2:13" x14ac:dyDescent="0.3">
      <c r="B46" s="10" t="s">
        <v>11</v>
      </c>
      <c r="C46" s="71"/>
      <c r="D46" s="72">
        <v>1</v>
      </c>
      <c r="E46" s="71">
        <v>1</v>
      </c>
      <c r="F46" s="72">
        <v>0.66</v>
      </c>
      <c r="G46" s="71">
        <v>0.33</v>
      </c>
      <c r="H46" s="72">
        <v>0</v>
      </c>
      <c r="I46" s="71"/>
      <c r="J46" s="72"/>
      <c r="K46" s="71"/>
      <c r="L46" s="72"/>
      <c r="M46" s="71"/>
    </row>
    <row r="47" spans="2:13" x14ac:dyDescent="0.3">
      <c r="B47" s="10" t="s">
        <v>12</v>
      </c>
      <c r="C47" s="71"/>
      <c r="D47" s="72"/>
      <c r="E47" s="71"/>
      <c r="F47" s="72"/>
      <c r="G47" s="71"/>
      <c r="H47" s="72"/>
      <c r="I47" s="71"/>
      <c r="J47" s="72"/>
      <c r="K47" s="71"/>
      <c r="L47" s="72"/>
      <c r="M47" s="71"/>
    </row>
    <row r="48" spans="2:13" x14ac:dyDescent="0.3">
      <c r="B48" s="10" t="s">
        <v>13</v>
      </c>
      <c r="C48" s="71"/>
      <c r="D48" s="72"/>
      <c r="E48" s="71"/>
      <c r="F48" s="72"/>
      <c r="G48" s="71"/>
      <c r="H48" s="72"/>
      <c r="I48" s="71"/>
      <c r="J48" s="72"/>
      <c r="K48" s="71"/>
      <c r="L48" s="72"/>
      <c r="M48" s="71"/>
    </row>
    <row r="49" spans="2:13" x14ac:dyDescent="0.3">
      <c r="B49" s="32" t="s">
        <v>16</v>
      </c>
      <c r="C49" s="61">
        <f t="shared" ref="C49:M49" si="8">C43*C46+C44*C47+C45*C48</f>
        <v>0</v>
      </c>
      <c r="D49" s="61">
        <f t="shared" si="8"/>
        <v>0</v>
      </c>
      <c r="E49" s="62">
        <f t="shared" si="8"/>
        <v>0</v>
      </c>
      <c r="F49" s="61">
        <f t="shared" si="8"/>
        <v>0</v>
      </c>
      <c r="G49" s="62">
        <f t="shared" si="8"/>
        <v>0</v>
      </c>
      <c r="H49" s="61">
        <f t="shared" si="8"/>
        <v>0</v>
      </c>
      <c r="I49" s="62">
        <f t="shared" si="8"/>
        <v>0</v>
      </c>
      <c r="J49" s="61">
        <f t="shared" si="8"/>
        <v>0</v>
      </c>
      <c r="K49" s="62">
        <f t="shared" si="8"/>
        <v>0</v>
      </c>
      <c r="L49" s="61">
        <f t="shared" si="8"/>
        <v>0</v>
      </c>
      <c r="M49" s="63">
        <f t="shared" si="8"/>
        <v>0</v>
      </c>
    </row>
    <row r="50" spans="2:13" x14ac:dyDescent="0.3">
      <c r="B50" s="33" t="s">
        <v>24</v>
      </c>
      <c r="C50" s="37"/>
      <c r="D50" s="6"/>
      <c r="E50" s="37"/>
      <c r="F50" s="6"/>
      <c r="G50" s="37"/>
      <c r="H50" s="6"/>
      <c r="I50" s="37"/>
      <c r="J50" s="6"/>
      <c r="K50" s="37"/>
      <c r="L50" s="6"/>
      <c r="M50" s="37"/>
    </row>
    <row r="51" spans="2:13" x14ac:dyDescent="0.3">
      <c r="B51" s="34" t="s">
        <v>58</v>
      </c>
      <c r="C51" s="68"/>
      <c r="D51" s="68">
        <f>+'Calculo Riesgos y Costos'!$F$12</f>
        <v>209300000000</v>
      </c>
      <c r="E51" s="68">
        <f>+'Calculo Riesgos y Costos'!$F$12</f>
        <v>209300000000</v>
      </c>
      <c r="F51" s="68">
        <f>+'Calculo Riesgos y Costos'!$F$12</f>
        <v>209300000000</v>
      </c>
      <c r="G51" s="68">
        <f>+'Calculo Riesgos y Costos'!$F$12</f>
        <v>209300000000</v>
      </c>
      <c r="H51" s="68">
        <f>+'Calculo Riesgos y Costos'!$F$12</f>
        <v>209300000000</v>
      </c>
      <c r="I51" s="68"/>
      <c r="J51" s="69"/>
      <c r="K51" s="68"/>
      <c r="L51" s="69"/>
      <c r="M51" s="68"/>
    </row>
    <row r="52" spans="2:13" x14ac:dyDescent="0.3">
      <c r="B52" s="34" t="s">
        <v>59</v>
      </c>
      <c r="C52" s="68"/>
      <c r="D52" s="69">
        <v>0</v>
      </c>
      <c r="E52" s="68">
        <f>+'Calculo Riesgos y Costos'!$F$21*0.33</f>
        <v>2112000</v>
      </c>
      <c r="F52" s="68">
        <f>+'Calculo Riesgos y Costos'!$F$21*0.66</f>
        <v>4224000</v>
      </c>
      <c r="G52" s="68">
        <f>+'Calculo Riesgos y Costos'!$F$21</f>
        <v>6400000</v>
      </c>
      <c r="H52" s="68">
        <f>+'Calculo Riesgos y Costos'!$F$21</f>
        <v>6400000</v>
      </c>
      <c r="I52" s="68"/>
      <c r="J52" s="69"/>
      <c r="K52" s="68"/>
      <c r="L52" s="69"/>
      <c r="M52" s="68"/>
    </row>
    <row r="53" spans="2:13" x14ac:dyDescent="0.3">
      <c r="B53" s="34" t="s">
        <v>0</v>
      </c>
      <c r="C53" s="68"/>
      <c r="D53" s="69"/>
      <c r="E53" s="68"/>
      <c r="F53" s="69"/>
      <c r="G53" s="68"/>
      <c r="H53" s="69"/>
      <c r="I53" s="68"/>
      <c r="J53" s="69"/>
      <c r="K53" s="68"/>
      <c r="L53" s="69"/>
      <c r="M53" s="68"/>
    </row>
    <row r="54" spans="2:13" x14ac:dyDescent="0.3">
      <c r="B54" s="34" t="s">
        <v>1</v>
      </c>
      <c r="C54" s="68"/>
      <c r="D54" s="69"/>
      <c r="E54" s="68"/>
      <c r="F54" s="69"/>
      <c r="G54" s="68"/>
      <c r="H54" s="69"/>
      <c r="I54" s="68"/>
      <c r="J54" s="69"/>
      <c r="K54" s="68"/>
      <c r="L54" s="69"/>
      <c r="M54" s="68"/>
    </row>
    <row r="55" spans="2:13" x14ac:dyDescent="0.3">
      <c r="B55" s="34" t="s">
        <v>2</v>
      </c>
      <c r="C55" s="68"/>
      <c r="D55" s="69"/>
      <c r="E55" s="68"/>
      <c r="F55" s="69"/>
      <c r="G55" s="68"/>
      <c r="H55" s="69"/>
      <c r="I55" s="68"/>
      <c r="J55" s="69"/>
      <c r="K55" s="68"/>
      <c r="L55" s="69"/>
      <c r="M55" s="68"/>
    </row>
    <row r="56" spans="2:13" x14ac:dyDescent="0.3">
      <c r="B56" s="32" t="s">
        <v>17</v>
      </c>
      <c r="C56" s="61">
        <f t="shared" ref="C56:M56" si="9">+SUM(C51:C55)</f>
        <v>0</v>
      </c>
      <c r="D56" s="61">
        <f t="shared" si="9"/>
        <v>209300000000</v>
      </c>
      <c r="E56" s="62">
        <f t="shared" si="9"/>
        <v>209302112000</v>
      </c>
      <c r="F56" s="61">
        <f t="shared" si="9"/>
        <v>209304224000</v>
      </c>
      <c r="G56" s="62">
        <f t="shared" si="9"/>
        <v>209306400000</v>
      </c>
      <c r="H56" s="61">
        <f t="shared" si="9"/>
        <v>209306400000</v>
      </c>
      <c r="I56" s="62">
        <f t="shared" si="9"/>
        <v>0</v>
      </c>
      <c r="J56" s="61">
        <f t="shared" si="9"/>
        <v>0</v>
      </c>
      <c r="K56" s="62">
        <f t="shared" si="9"/>
        <v>0</v>
      </c>
      <c r="L56" s="61">
        <f t="shared" si="9"/>
        <v>0</v>
      </c>
      <c r="M56" s="63">
        <f t="shared" si="9"/>
        <v>0</v>
      </c>
    </row>
    <row r="57" spans="2:13" x14ac:dyDescent="0.3">
      <c r="B57" s="74" t="s">
        <v>44</v>
      </c>
      <c r="C57" s="61">
        <f>+C41+C49+C56</f>
        <v>0</v>
      </c>
      <c r="D57" s="61">
        <f>+D41+D49+D56</f>
        <v>213721000000</v>
      </c>
      <c r="E57" s="62">
        <f>+E41+E49+E56</f>
        <v>209333112000</v>
      </c>
      <c r="F57" s="61">
        <f t="shared" ref="F57:M57" si="10">+F41+F49+F56</f>
        <v>209335224000</v>
      </c>
      <c r="G57" s="62">
        <f t="shared" si="10"/>
        <v>209337400000</v>
      </c>
      <c r="H57" s="61">
        <f t="shared" si="10"/>
        <v>209337400000</v>
      </c>
      <c r="I57" s="62">
        <f t="shared" si="10"/>
        <v>0</v>
      </c>
      <c r="J57" s="61">
        <f t="shared" si="10"/>
        <v>0</v>
      </c>
      <c r="K57" s="62">
        <f t="shared" si="10"/>
        <v>0</v>
      </c>
      <c r="L57" s="61">
        <f t="shared" si="10"/>
        <v>0</v>
      </c>
      <c r="M57" s="63">
        <f t="shared" si="10"/>
        <v>0</v>
      </c>
    </row>
    <row r="58" spans="2:13" x14ac:dyDescent="0.3">
      <c r="E58" s="20"/>
      <c r="F58" s="20"/>
      <c r="G58" s="20"/>
      <c r="H58" s="20"/>
      <c r="I58" s="20"/>
      <c r="J58" s="20"/>
    </row>
  </sheetData>
  <mergeCells count="6">
    <mergeCell ref="B37:B38"/>
    <mergeCell ref="B5:M5"/>
    <mergeCell ref="B15:M15"/>
    <mergeCell ref="B3:C3"/>
    <mergeCell ref="B36:M36"/>
    <mergeCell ref="E3:M3"/>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0"/>
  <sheetViews>
    <sheetView showGridLines="0" workbookViewId="0">
      <selection activeCell="G6" sqref="G6"/>
    </sheetView>
  </sheetViews>
  <sheetFormatPr defaultColWidth="11.453125" defaultRowHeight="13" x14ac:dyDescent="0.3"/>
  <cols>
    <col min="1" max="1" width="11.453125" style="4"/>
    <col min="2" max="2" width="15" style="4" bestFit="1" customWidth="1"/>
    <col min="3" max="3" width="37.6328125" style="4" customWidth="1"/>
    <col min="4" max="5" width="9.90625" style="4" bestFit="1" customWidth="1"/>
    <col min="6" max="6" width="10.6328125" style="4" bestFit="1" customWidth="1"/>
    <col min="7" max="7" width="15.90625" style="4" bestFit="1" customWidth="1"/>
    <col min="8" max="8" width="12" style="4" bestFit="1" customWidth="1"/>
    <col min="9" max="9" width="17.36328125" style="4" bestFit="1" customWidth="1"/>
    <col min="10" max="16384" width="11.453125" style="4"/>
  </cols>
  <sheetData>
    <row r="3" spans="2:14" x14ac:dyDescent="0.3">
      <c r="B3" s="171" t="s">
        <v>18</v>
      </c>
      <c r="C3" s="172"/>
      <c r="D3" s="172"/>
      <c r="E3" s="172"/>
      <c r="F3" s="172"/>
      <c r="G3" s="173"/>
      <c r="H3" s="55"/>
      <c r="I3" s="55"/>
      <c r="J3" s="55"/>
      <c r="K3" s="55"/>
      <c r="L3" s="55"/>
      <c r="M3" s="55"/>
      <c r="N3" s="55"/>
    </row>
    <row r="4" spans="2:14" s="27" customFormat="1" x14ac:dyDescent="0.3">
      <c r="B4" s="48"/>
      <c r="C4" s="48"/>
      <c r="D4" s="48"/>
      <c r="E4" s="53" t="s">
        <v>52</v>
      </c>
      <c r="F4" s="53" t="s">
        <v>51</v>
      </c>
      <c r="G4" s="54" t="s">
        <v>35</v>
      </c>
      <c r="H4" s="48"/>
      <c r="I4" s="48"/>
      <c r="J4" s="48"/>
      <c r="K4" s="48"/>
      <c r="L4" s="48"/>
      <c r="M4" s="48"/>
      <c r="N4" s="48"/>
    </row>
    <row r="5" spans="2:14" s="27" customFormat="1" x14ac:dyDescent="0.3">
      <c r="B5" s="48"/>
      <c r="C5" s="48"/>
      <c r="D5" s="48"/>
      <c r="E5" s="53"/>
      <c r="F5" s="53"/>
      <c r="G5" s="54"/>
      <c r="H5" s="48"/>
      <c r="I5" s="48"/>
      <c r="J5" s="48"/>
      <c r="K5" s="48"/>
      <c r="L5" s="48"/>
      <c r="M5" s="48"/>
      <c r="N5" s="48"/>
    </row>
    <row r="6" spans="2:14" s="27" customFormat="1" x14ac:dyDescent="0.3">
      <c r="B6" s="123" t="s">
        <v>55</v>
      </c>
      <c r="C6" s="51" t="s">
        <v>69</v>
      </c>
      <c r="D6" s="98"/>
      <c r="E6" s="114">
        <v>10</v>
      </c>
      <c r="F6" s="115">
        <v>1000</v>
      </c>
      <c r="G6" s="116">
        <f>+(E6*F6)*'FLUJO DE CAJA'!D12</f>
        <v>31000000</v>
      </c>
      <c r="H6" s="48"/>
      <c r="I6" s="48"/>
      <c r="J6" s="48"/>
      <c r="K6" s="48"/>
      <c r="L6" s="48"/>
      <c r="M6" s="48"/>
      <c r="N6" s="48"/>
    </row>
    <row r="7" spans="2:14" s="27" customFormat="1" x14ac:dyDescent="0.3">
      <c r="B7" s="130"/>
      <c r="C7" s="47" t="s">
        <v>85</v>
      </c>
      <c r="D7" s="48"/>
      <c r="E7" s="139">
        <v>40</v>
      </c>
      <c r="F7" s="138">
        <v>25000</v>
      </c>
      <c r="G7" s="122">
        <f>E7*F7*3200</f>
        <v>3200000000</v>
      </c>
      <c r="H7" s="48"/>
      <c r="I7" s="48"/>
      <c r="J7" s="48"/>
      <c r="K7" s="48"/>
      <c r="L7" s="48"/>
      <c r="M7" s="48"/>
      <c r="N7" s="48"/>
    </row>
    <row r="8" spans="2:14" x14ac:dyDescent="0.3">
      <c r="B8" s="46"/>
      <c r="C8" s="46"/>
      <c r="D8" s="53" t="s">
        <v>34</v>
      </c>
      <c r="E8" s="53" t="s">
        <v>8</v>
      </c>
      <c r="F8" s="53" t="s">
        <v>33</v>
      </c>
      <c r="G8" s="117"/>
      <c r="H8" s="6"/>
      <c r="I8" s="6"/>
      <c r="J8" s="6"/>
      <c r="K8" s="6"/>
      <c r="L8" s="6"/>
      <c r="M8" s="6"/>
      <c r="N8" s="6"/>
    </row>
    <row r="9" spans="2:14" x14ac:dyDescent="0.3">
      <c r="B9" s="174" t="s">
        <v>5</v>
      </c>
      <c r="C9" s="128"/>
      <c r="D9" s="53"/>
      <c r="E9" s="53"/>
      <c r="F9" s="53"/>
      <c r="G9" s="129"/>
      <c r="H9" s="6"/>
      <c r="I9" s="6"/>
      <c r="J9" s="6"/>
      <c r="K9" s="6"/>
      <c r="L9" s="6"/>
      <c r="M9" s="6"/>
      <c r="N9" s="6"/>
    </row>
    <row r="10" spans="2:14" x14ac:dyDescent="0.3">
      <c r="B10" s="175"/>
      <c r="C10" s="51"/>
      <c r="D10" s="115"/>
      <c r="E10" s="115"/>
      <c r="F10" s="118"/>
      <c r="G10" s="116">
        <f>+D10*E10*F10</f>
        <v>0</v>
      </c>
      <c r="H10" s="7"/>
      <c r="I10" s="7"/>
      <c r="J10" s="7"/>
      <c r="K10" s="7"/>
      <c r="L10" s="7"/>
      <c r="M10" s="7"/>
      <c r="N10" s="7"/>
    </row>
    <row r="11" spans="2:14" x14ac:dyDescent="0.3">
      <c r="B11" s="99" t="s">
        <v>6</v>
      </c>
      <c r="C11" s="100" t="s">
        <v>77</v>
      </c>
      <c r="D11" s="119">
        <v>80</v>
      </c>
      <c r="E11" s="119">
        <v>2</v>
      </c>
      <c r="F11" s="120">
        <v>500000</v>
      </c>
      <c r="G11" s="121">
        <f>+D11*E11*F11</f>
        <v>80000000</v>
      </c>
      <c r="H11" s="7"/>
      <c r="I11" s="7"/>
      <c r="J11" s="7"/>
      <c r="K11" s="7"/>
      <c r="L11" s="7"/>
      <c r="M11" s="7"/>
      <c r="N11" s="7"/>
    </row>
    <row r="12" spans="2:14" x14ac:dyDescent="0.3">
      <c r="B12" s="50"/>
      <c r="C12" s="51" t="s">
        <v>78</v>
      </c>
      <c r="D12" s="115">
        <v>60</v>
      </c>
      <c r="E12" s="115">
        <v>1</v>
      </c>
      <c r="F12" s="118">
        <v>500000</v>
      </c>
      <c r="G12" s="121">
        <f t="shared" ref="G12:G13" si="0">+D12*E12*F12</f>
        <v>30000000</v>
      </c>
      <c r="H12" s="7"/>
      <c r="I12" s="7"/>
      <c r="J12" s="7"/>
      <c r="K12" s="7"/>
      <c r="L12" s="7"/>
      <c r="M12" s="7"/>
      <c r="N12" s="7"/>
    </row>
    <row r="13" spans="2:14" x14ac:dyDescent="0.3">
      <c r="B13" s="50"/>
      <c r="C13" s="51" t="s">
        <v>79</v>
      </c>
      <c r="D13" s="115">
        <v>180</v>
      </c>
      <c r="E13" s="115">
        <v>6</v>
      </c>
      <c r="F13" s="118">
        <v>1000000</v>
      </c>
      <c r="G13" s="121">
        <f t="shared" si="0"/>
        <v>1080000000</v>
      </c>
      <c r="H13" s="7"/>
      <c r="I13" s="7"/>
      <c r="J13" s="7"/>
      <c r="K13" s="7"/>
      <c r="L13" s="7"/>
      <c r="M13" s="7"/>
      <c r="N13" s="7"/>
    </row>
    <row r="14" spans="2:14" x14ac:dyDescent="0.3">
      <c r="B14" s="52" t="s">
        <v>7</v>
      </c>
      <c r="C14" s="52" t="s">
        <v>36</v>
      </c>
      <c r="D14" s="115">
        <v>0</v>
      </c>
      <c r="E14" s="115">
        <v>0</v>
      </c>
      <c r="F14" s="118">
        <v>0</v>
      </c>
      <c r="G14" s="116">
        <f>+D14*E14*F14</f>
        <v>0</v>
      </c>
      <c r="H14" s="7"/>
      <c r="I14" s="7"/>
      <c r="J14" s="7"/>
      <c r="K14" s="7"/>
      <c r="L14" s="7"/>
      <c r="M14" s="7"/>
      <c r="N14" s="7"/>
    </row>
    <row r="15" spans="2:14" s="25" customFormat="1" ht="13.5" thickBot="1" x14ac:dyDescent="0.35">
      <c r="B15" s="75" t="s">
        <v>37</v>
      </c>
      <c r="C15" s="75"/>
      <c r="D15" s="76"/>
      <c r="E15" s="76"/>
      <c r="F15" s="76"/>
      <c r="G15" s="77">
        <f>+SUM(G4:G14)</f>
        <v>4421000000</v>
      </c>
      <c r="H15" s="28"/>
      <c r="I15" s="28"/>
      <c r="J15" s="28"/>
      <c r="K15" s="28"/>
      <c r="L15" s="28"/>
      <c r="M15" s="28"/>
      <c r="N15" s="28"/>
    </row>
    <row r="16" spans="2:14" ht="13.5" thickTop="1" x14ac:dyDescent="0.3"/>
    <row r="18" spans="3:11" x14ac:dyDescent="0.3">
      <c r="C18" s="112"/>
      <c r="D18" s="112"/>
    </row>
    <row r="19" spans="3:11" x14ac:dyDescent="0.3">
      <c r="D19" s="127"/>
      <c r="H19" s="4">
        <v>1800000</v>
      </c>
      <c r="I19" s="4">
        <v>50000</v>
      </c>
      <c r="K19" s="4">
        <f>H19/I19</f>
        <v>36</v>
      </c>
    </row>
    <row r="20" spans="3:11" x14ac:dyDescent="0.3">
      <c r="E20" s="20"/>
    </row>
  </sheetData>
  <mergeCells count="2">
    <mergeCell ref="B3:G3"/>
    <mergeCell ref="B9:B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33"/>
  <sheetViews>
    <sheetView showGridLines="0" tabSelected="1" workbookViewId="0">
      <selection activeCell="F7" sqref="F7"/>
    </sheetView>
  </sheetViews>
  <sheetFormatPr defaultColWidth="11.453125" defaultRowHeight="13" x14ac:dyDescent="0.3"/>
  <cols>
    <col min="1" max="1" width="11.453125" style="4"/>
    <col min="2" max="2" width="44.36328125" style="4" bestFit="1" customWidth="1"/>
    <col min="3" max="3" width="5.36328125" style="4" customWidth="1"/>
    <col min="4" max="4" width="15.81640625" style="4" bestFit="1" customWidth="1"/>
    <col min="5" max="5" width="11.453125" style="4"/>
    <col min="6" max="6" width="14.90625" style="4" bestFit="1" customWidth="1"/>
    <col min="7" max="7" width="11.453125" style="4"/>
    <col min="8" max="8" width="12.90625" style="4" bestFit="1" customWidth="1"/>
    <col min="9" max="9" width="20.08984375" style="4" customWidth="1"/>
    <col min="10" max="10" width="13.08984375" style="4" bestFit="1" customWidth="1"/>
    <col min="11" max="16384" width="11.453125" style="4"/>
  </cols>
  <sheetData>
    <row r="2" spans="1:10" x14ac:dyDescent="0.3">
      <c r="B2" s="171" t="s">
        <v>46</v>
      </c>
      <c r="C2" s="172"/>
      <c r="D2" s="172"/>
      <c r="E2" s="172"/>
      <c r="F2" s="173"/>
      <c r="J2" s="56"/>
    </row>
    <row r="3" spans="1:10" x14ac:dyDescent="0.3">
      <c r="B3" s="48"/>
      <c r="C3" s="48"/>
      <c r="D3" s="48"/>
      <c r="E3" s="48"/>
      <c r="F3" s="48"/>
    </row>
    <row r="4" spans="1:10" x14ac:dyDescent="0.3">
      <c r="B4" s="46"/>
      <c r="C4" s="46"/>
      <c r="D4" s="53" t="s">
        <v>56</v>
      </c>
      <c r="E4" s="53" t="s">
        <v>57</v>
      </c>
      <c r="F4" s="53" t="s">
        <v>35</v>
      </c>
      <c r="I4" s="25"/>
      <c r="J4" s="125"/>
    </row>
    <row r="5" spans="1:10" x14ac:dyDescent="0.3">
      <c r="B5" s="140" t="s">
        <v>72</v>
      </c>
      <c r="C5" s="141"/>
      <c r="D5" s="142">
        <v>5000000</v>
      </c>
      <c r="E5" s="143">
        <v>1000</v>
      </c>
      <c r="F5" s="144">
        <f>+D5*E5</f>
        <v>5000000000</v>
      </c>
      <c r="H5" s="102"/>
    </row>
    <row r="6" spans="1:10" x14ac:dyDescent="0.3">
      <c r="B6" s="140" t="s">
        <v>73</v>
      </c>
      <c r="C6" s="141"/>
      <c r="D6" s="142">
        <f>628473000000*5%*10%</f>
        <v>3142365000</v>
      </c>
      <c r="E6" s="143"/>
      <c r="F6" s="144">
        <f>+D6</f>
        <v>3142365000</v>
      </c>
      <c r="H6" s="102"/>
    </row>
    <row r="7" spans="1:10" x14ac:dyDescent="0.3">
      <c r="B7" s="156" t="s">
        <v>91</v>
      </c>
      <c r="C7" s="149"/>
      <c r="D7" s="150"/>
      <c r="E7" s="157"/>
      <c r="F7" s="152">
        <f>SUM(F5:F6)</f>
        <v>8142365000</v>
      </c>
      <c r="H7" s="102"/>
    </row>
    <row r="8" spans="1:10" x14ac:dyDescent="0.3">
      <c r="B8" s="140"/>
      <c r="C8" s="141"/>
      <c r="D8" s="142"/>
      <c r="E8" s="143"/>
      <c r="F8" s="144"/>
      <c r="H8" s="102"/>
    </row>
    <row r="9" spans="1:10" x14ac:dyDescent="0.3">
      <c r="B9" s="140"/>
      <c r="C9" s="141"/>
      <c r="D9" s="142"/>
      <c r="E9" s="143"/>
      <c r="F9" s="144"/>
      <c r="H9" s="102"/>
    </row>
    <row r="10" spans="1:10" x14ac:dyDescent="0.3">
      <c r="A10" s="113"/>
      <c r="B10" s="171" t="s">
        <v>48</v>
      </c>
      <c r="C10" s="172"/>
      <c r="D10" s="172"/>
      <c r="E10" s="172"/>
      <c r="F10" s="173"/>
    </row>
    <row r="11" spans="1:10" x14ac:dyDescent="0.3">
      <c r="A11" s="176"/>
      <c r="B11" s="140"/>
      <c r="C11" s="141"/>
      <c r="D11" s="145" t="s">
        <v>47</v>
      </c>
      <c r="E11" s="146" t="s">
        <v>83</v>
      </c>
      <c r="F11" s="144"/>
      <c r="H11" s="101"/>
      <c r="I11" s="126"/>
    </row>
    <row r="12" spans="1:10" x14ac:dyDescent="0.3">
      <c r="A12" s="176"/>
      <c r="B12" s="140" t="s">
        <v>81</v>
      </c>
      <c r="C12" s="141"/>
      <c r="D12" s="142">
        <f>164000000000+38500000000+6800000000</f>
        <v>209300000000</v>
      </c>
      <c r="E12" s="147">
        <v>1</v>
      </c>
      <c r="F12" s="144">
        <f>D12*E12</f>
        <v>209300000000</v>
      </c>
      <c r="H12" s="102"/>
      <c r="I12" s="126"/>
      <c r="J12" s="20"/>
    </row>
    <row r="13" spans="1:10" x14ac:dyDescent="0.3">
      <c r="A13" s="176"/>
      <c r="B13" s="140" t="s">
        <v>74</v>
      </c>
      <c r="C13" s="141"/>
      <c r="D13" s="142">
        <v>40000</v>
      </c>
      <c r="E13" s="147">
        <f>100*50</f>
        <v>5000</v>
      </c>
      <c r="F13" s="144">
        <f>D13*E13</f>
        <v>200000000</v>
      </c>
      <c r="H13" s="102"/>
      <c r="I13" s="126"/>
      <c r="J13" s="20"/>
    </row>
    <row r="14" spans="1:10" x14ac:dyDescent="0.3">
      <c r="A14" s="176"/>
      <c r="B14" s="140" t="s">
        <v>80</v>
      </c>
      <c r="C14" s="141"/>
      <c r="D14" s="142">
        <v>90000</v>
      </c>
      <c r="E14" s="147">
        <v>100000</v>
      </c>
      <c r="F14" s="144">
        <f>D14*E14</f>
        <v>9000000000</v>
      </c>
      <c r="H14" s="102"/>
      <c r="I14" s="126"/>
      <c r="J14" s="20"/>
    </row>
    <row r="15" spans="1:10" x14ac:dyDescent="0.3">
      <c r="A15" s="176"/>
      <c r="B15" s="148" t="s">
        <v>84</v>
      </c>
      <c r="C15" s="149"/>
      <c r="D15" s="150"/>
      <c r="E15" s="151"/>
      <c r="F15" s="152">
        <f>SUM(F12:F14)</f>
        <v>218500000000</v>
      </c>
      <c r="H15" s="102"/>
      <c r="I15" s="126"/>
      <c r="J15" s="20"/>
    </row>
    <row r="16" spans="1:10" x14ac:dyDescent="0.3">
      <c r="A16" s="176"/>
      <c r="B16" s="140"/>
      <c r="C16" s="141"/>
      <c r="D16" s="142"/>
      <c r="E16" s="147"/>
      <c r="F16" s="144"/>
      <c r="H16" s="102"/>
      <c r="I16" s="126"/>
      <c r="J16" s="20"/>
    </row>
    <row r="17" spans="1:10" x14ac:dyDescent="0.3">
      <c r="A17" s="176"/>
      <c r="B17" s="140"/>
      <c r="C17" s="141"/>
      <c r="D17" s="142"/>
      <c r="E17" s="147"/>
      <c r="F17" s="144"/>
      <c r="H17" s="102"/>
      <c r="I17" s="126"/>
      <c r="J17" s="20"/>
    </row>
    <row r="18" spans="1:10" x14ac:dyDescent="0.3">
      <c r="A18" s="176"/>
      <c r="B18" s="140" t="s">
        <v>82</v>
      </c>
      <c r="C18" s="141"/>
      <c r="D18" s="142">
        <f>164000000000+38500000000+6800000000</f>
        <v>209300000000</v>
      </c>
      <c r="E18" s="147">
        <v>1</v>
      </c>
      <c r="F18" s="144">
        <f>D18*E18</f>
        <v>209300000000</v>
      </c>
      <c r="H18" s="102"/>
      <c r="I18" s="126"/>
      <c r="J18" s="20"/>
    </row>
    <row r="19" spans="1:10" x14ac:dyDescent="0.3">
      <c r="A19" s="176"/>
      <c r="B19" s="140" t="s">
        <v>90</v>
      </c>
      <c r="C19" s="141"/>
      <c r="D19" s="142">
        <v>500000</v>
      </c>
      <c r="E19" s="147">
        <f>180*5</f>
        <v>900</v>
      </c>
      <c r="F19" s="144">
        <f t="shared" ref="F19:F21" si="0">D19*E19</f>
        <v>450000000</v>
      </c>
      <c r="H19" s="102"/>
      <c r="I19" s="126"/>
      <c r="J19" s="20"/>
    </row>
    <row r="20" spans="1:10" x14ac:dyDescent="0.3">
      <c r="A20" s="176"/>
      <c r="B20" s="140" t="s">
        <v>86</v>
      </c>
      <c r="C20" s="141"/>
      <c r="D20" s="142">
        <v>40000</v>
      </c>
      <c r="E20" s="147">
        <f>100*50</f>
        <v>5000</v>
      </c>
      <c r="F20" s="144">
        <f t="shared" si="0"/>
        <v>200000000</v>
      </c>
      <c r="H20" s="102"/>
      <c r="I20" s="126"/>
      <c r="J20" s="20"/>
    </row>
    <row r="21" spans="1:10" x14ac:dyDescent="0.3">
      <c r="A21" s="176"/>
      <c r="B21" s="140" t="s">
        <v>87</v>
      </c>
      <c r="C21" s="153"/>
      <c r="D21" s="142">
        <f>3200*2</f>
        <v>6400</v>
      </c>
      <c r="E21" s="147">
        <v>1000</v>
      </c>
      <c r="F21" s="144">
        <f t="shared" si="0"/>
        <v>6400000</v>
      </c>
    </row>
    <row r="22" spans="1:10" x14ac:dyDescent="0.3">
      <c r="A22" s="131"/>
      <c r="B22" s="140" t="s">
        <v>88</v>
      </c>
      <c r="C22" s="153"/>
      <c r="D22" s="155">
        <f>628473000000*5%*10%</f>
        <v>3142365000</v>
      </c>
      <c r="E22" s="154">
        <v>0.03</v>
      </c>
      <c r="F22" s="144">
        <f>D22*E22</f>
        <v>94270950</v>
      </c>
    </row>
    <row r="23" spans="1:10" x14ac:dyDescent="0.3">
      <c r="A23" s="131"/>
      <c r="B23" s="148" t="s">
        <v>89</v>
      </c>
      <c r="C23" s="153"/>
      <c r="D23" s="142"/>
      <c r="E23" s="143"/>
      <c r="F23" s="152">
        <f>SUM(F18:F22)</f>
        <v>210050670950</v>
      </c>
    </row>
    <row r="24" spans="1:10" x14ac:dyDescent="0.3">
      <c r="D24" s="85"/>
      <c r="E24" s="85"/>
      <c r="F24" s="85"/>
    </row>
    <row r="25" spans="1:10" x14ac:dyDescent="0.3">
      <c r="B25" s="3"/>
      <c r="C25" s="57"/>
      <c r="D25" s="1"/>
    </row>
    <row r="26" spans="1:10" x14ac:dyDescent="0.3">
      <c r="B26" s="3"/>
      <c r="C26" s="1"/>
      <c r="D26" s="57"/>
    </row>
    <row r="27" spans="1:10" x14ac:dyDescent="0.3">
      <c r="B27" s="3"/>
      <c r="C27" s="49"/>
      <c r="D27" s="1"/>
    </row>
    <row r="28" spans="1:10" x14ac:dyDescent="0.3">
      <c r="B28" s="3"/>
      <c r="C28" s="1"/>
      <c r="D28" s="1"/>
    </row>
    <row r="30" spans="1:10" x14ac:dyDescent="0.3">
      <c r="B30" s="58"/>
      <c r="C30" s="2"/>
      <c r="D30" s="1"/>
    </row>
    <row r="31" spans="1:10" x14ac:dyDescent="0.3">
      <c r="B31" s="3"/>
      <c r="C31" s="57"/>
      <c r="D31" s="1"/>
    </row>
    <row r="32" spans="1:10" x14ac:dyDescent="0.3">
      <c r="B32" s="3"/>
      <c r="C32" s="60"/>
      <c r="D32" s="1"/>
    </row>
    <row r="33" spans="2:4" x14ac:dyDescent="0.3">
      <c r="B33" s="3"/>
      <c r="C33" s="59"/>
      <c r="D33" s="1"/>
    </row>
  </sheetData>
  <mergeCells count="3">
    <mergeCell ref="B2:F2"/>
    <mergeCell ref="A11:A21"/>
    <mergeCell ref="B10:F10"/>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topLeftCell="A15" workbookViewId="0">
      <selection activeCell="D28" sqref="D28"/>
    </sheetView>
  </sheetViews>
  <sheetFormatPr defaultColWidth="11.54296875" defaultRowHeight="12.5" x14ac:dyDescent="0.25"/>
  <cols>
    <col min="1" max="1" width="5.90625" customWidth="1"/>
    <col min="3" max="3" width="13.6328125" bestFit="1" customWidth="1"/>
    <col min="4" max="7" width="12.90625" bestFit="1" customWidth="1"/>
    <col min="8" max="8" width="14.90625" bestFit="1" customWidth="1"/>
  </cols>
  <sheetData>
    <row r="2" spans="1:13" ht="13" x14ac:dyDescent="0.3">
      <c r="B2" s="177" t="s">
        <v>25</v>
      </c>
      <c r="C2" s="178"/>
      <c r="D2" s="178"/>
      <c r="E2" s="178"/>
      <c r="F2" s="178"/>
      <c r="G2" s="178"/>
      <c r="H2" s="178"/>
      <c r="I2" s="178"/>
      <c r="J2" s="178"/>
      <c r="K2" s="178"/>
      <c r="L2" s="178"/>
      <c r="M2" s="178"/>
    </row>
    <row r="4" spans="1:13" ht="26" x14ac:dyDescent="0.3">
      <c r="A4" s="4"/>
      <c r="B4" s="96" t="s">
        <v>50</v>
      </c>
      <c r="C4" s="97">
        <f>+'FLUJO DE CAJA'!C8</f>
        <v>0.111</v>
      </c>
    </row>
    <row r="5" spans="1:13" ht="13" x14ac:dyDescent="0.3">
      <c r="A5" s="4"/>
      <c r="B5" s="41" t="s">
        <v>28</v>
      </c>
      <c r="C5" s="14">
        <f>+'FLUJO DE CAJA'!C17</f>
        <v>2016</v>
      </c>
      <c r="D5" s="14">
        <f>+'FLUJO DE CAJA'!D17</f>
        <v>2020</v>
      </c>
      <c r="E5" s="14">
        <f>+'FLUJO DE CAJA'!E17</f>
        <v>2021</v>
      </c>
      <c r="F5" s="14">
        <f>+'FLUJO DE CAJA'!F17</f>
        <v>2022</v>
      </c>
      <c r="G5" s="14">
        <f>+'FLUJO DE CAJA'!G17</f>
        <v>2023</v>
      </c>
      <c r="H5" s="14">
        <f>+'FLUJO DE CAJA'!H17</f>
        <v>2024</v>
      </c>
      <c r="I5" s="14">
        <f>+'FLUJO DE CAJA'!I17</f>
        <v>2025</v>
      </c>
      <c r="J5" s="14">
        <f>+'FLUJO DE CAJA'!J17</f>
        <v>2026</v>
      </c>
      <c r="K5" s="14">
        <f>+'FLUJO DE CAJA'!K17</f>
        <v>2027</v>
      </c>
      <c r="L5" s="14">
        <f>+'FLUJO DE CAJA'!L17</f>
        <v>2028</v>
      </c>
      <c r="M5" s="14">
        <f>+'FLUJO DE CAJA'!M17</f>
        <v>2029</v>
      </c>
    </row>
    <row r="6" spans="1:13" ht="13" x14ac:dyDescent="0.3">
      <c r="A6" s="4"/>
      <c r="B6" s="86"/>
      <c r="C6" s="87">
        <f>+'FLUJO DE CAJA'!C18</f>
        <v>0</v>
      </c>
      <c r="D6" s="87">
        <f>+'FLUJO DE CAJA'!D18</f>
        <v>0</v>
      </c>
      <c r="E6" s="87">
        <f>+'FLUJO DE CAJA'!E18</f>
        <v>1</v>
      </c>
      <c r="F6" s="87">
        <f>+'FLUJO DE CAJA'!F18</f>
        <v>2</v>
      </c>
      <c r="G6" s="87">
        <f>+'FLUJO DE CAJA'!G18</f>
        <v>3</v>
      </c>
      <c r="H6" s="87">
        <f>+'FLUJO DE CAJA'!H18</f>
        <v>4</v>
      </c>
      <c r="I6" s="87">
        <f>+'FLUJO DE CAJA'!I18</f>
        <v>5</v>
      </c>
      <c r="J6" s="87">
        <f>+'FLUJO DE CAJA'!J18</f>
        <v>6</v>
      </c>
      <c r="K6" s="87">
        <f>+'FLUJO DE CAJA'!K18</f>
        <v>7</v>
      </c>
      <c r="L6" s="87">
        <f>+'FLUJO DE CAJA'!L18</f>
        <v>8</v>
      </c>
      <c r="M6" s="87">
        <f>+'FLUJO DE CAJA'!M18</f>
        <v>9</v>
      </c>
    </row>
    <row r="7" spans="1:13" ht="13" x14ac:dyDescent="0.3">
      <c r="A7" s="4"/>
      <c r="B7" s="4"/>
      <c r="C7" s="4"/>
      <c r="D7" s="4"/>
      <c r="E7" s="20"/>
      <c r="F7" s="20"/>
      <c r="G7" s="20"/>
      <c r="H7" s="20"/>
      <c r="I7" s="20"/>
      <c r="J7" s="20"/>
      <c r="K7" s="4"/>
      <c r="L7" s="4"/>
      <c r="M7" s="4"/>
    </row>
    <row r="8" spans="1:13" ht="13" x14ac:dyDescent="0.3">
      <c r="A8" s="4"/>
      <c r="B8" s="88" t="s">
        <v>42</v>
      </c>
      <c r="C8" s="30"/>
      <c r="D8" s="30"/>
      <c r="E8" s="30"/>
      <c r="F8" s="30"/>
      <c r="G8" s="30"/>
      <c r="H8" s="30"/>
      <c r="I8" s="30"/>
      <c r="J8" s="30"/>
      <c r="K8" s="30"/>
      <c r="L8" s="30"/>
      <c r="M8" s="31"/>
    </row>
    <row r="9" spans="1:13" ht="13" x14ac:dyDescent="0.3">
      <c r="A9" s="4"/>
      <c r="B9" s="44" t="s">
        <v>39</v>
      </c>
      <c r="C9" s="21">
        <f>+'FLUJO DE CAJA'!C34</f>
        <v>0</v>
      </c>
      <c r="D9" s="24">
        <f>('FLUJO DE CAJA'!D34/(1+$C$4)^D$6)</f>
        <v>209300000000</v>
      </c>
      <c r="E9" s="24">
        <f>('FLUJO DE CAJA'!E34/(1+$C$4)^E$6)</f>
        <v>195717700270.02701</v>
      </c>
      <c r="F9" s="24">
        <f>('FLUJO DE CAJA'!F34/(1+$C$4)^F$6)</f>
        <v>176163546597.68408</v>
      </c>
      <c r="G9" s="24">
        <f>('FLUJO DE CAJA'!G34/(1+$C$4)^G$6)</f>
        <v>158563048242.73993</v>
      </c>
      <c r="H9" s="24">
        <f>('FLUJO DE CAJA'!H34/(1+$C$4)^H$6)</f>
        <v>142721015520.01794</v>
      </c>
      <c r="I9" s="24">
        <f>('FLUJO DE CAJA'!I34/(1+$C$4)^I$6)</f>
        <v>0</v>
      </c>
      <c r="J9" s="24">
        <f>('FLUJO DE CAJA'!J34/(1+$C$4)^J$6)</f>
        <v>0</v>
      </c>
      <c r="K9" s="24">
        <f>('FLUJO DE CAJA'!K34/(1+$C$4)^K$6)</f>
        <v>0</v>
      </c>
      <c r="L9" s="24">
        <f>('FLUJO DE CAJA'!L34/(1+$C$4)^L$6)</f>
        <v>0</v>
      </c>
      <c r="M9" s="45">
        <f>('FLUJO DE CAJA'!M34/(1+$C$4)^M$6)</f>
        <v>0</v>
      </c>
    </row>
    <row r="10" spans="1:13" ht="13" x14ac:dyDescent="0.3">
      <c r="A10" s="4"/>
      <c r="B10" s="80"/>
      <c r="C10" s="81" t="s">
        <v>32</v>
      </c>
      <c r="D10" s="82" t="s">
        <v>49</v>
      </c>
      <c r="E10" s="83"/>
      <c r="F10" s="83"/>
      <c r="G10" s="83"/>
      <c r="H10" s="83"/>
      <c r="I10" s="83"/>
      <c r="J10" s="83"/>
      <c r="K10" s="83"/>
      <c r="L10" s="83"/>
      <c r="M10" s="84"/>
    </row>
    <row r="11" spans="1:13" ht="13" x14ac:dyDescent="0.3">
      <c r="A11" s="4"/>
      <c r="B11" s="79" t="s">
        <v>30</v>
      </c>
      <c r="C11" s="61">
        <f>+SUM(D9:M9)</f>
        <v>882465310630.46887</v>
      </c>
      <c r="D11" s="89">
        <f>+C11/'FLUJO DE CAJA'!$D$12</f>
        <v>284666229.2356351</v>
      </c>
      <c r="E11" s="78"/>
      <c r="F11" s="22"/>
      <c r="G11" s="22"/>
      <c r="H11" s="22"/>
      <c r="I11" s="22"/>
      <c r="J11" s="22"/>
      <c r="K11" s="22"/>
      <c r="L11" s="22"/>
      <c r="M11" s="22"/>
    </row>
    <row r="12" spans="1:13" ht="13" x14ac:dyDescent="0.3">
      <c r="A12" s="4"/>
      <c r="B12" s="4"/>
      <c r="C12" s="20"/>
      <c r="D12" s="20"/>
      <c r="E12" s="20"/>
      <c r="F12" s="20"/>
      <c r="G12" s="20"/>
      <c r="H12" s="20"/>
      <c r="I12" s="20"/>
      <c r="J12" s="20"/>
      <c r="K12" s="20"/>
      <c r="L12" s="20"/>
      <c r="M12" s="20"/>
    </row>
    <row r="13" spans="1:13" ht="13" x14ac:dyDescent="0.3">
      <c r="A13" s="4"/>
      <c r="B13" s="88" t="s">
        <v>3</v>
      </c>
      <c r="C13" s="30"/>
      <c r="D13" s="30"/>
      <c r="E13" s="30"/>
      <c r="F13" s="30"/>
      <c r="G13" s="30"/>
      <c r="H13" s="30"/>
      <c r="I13" s="30"/>
      <c r="J13" s="30"/>
      <c r="K13" s="30"/>
      <c r="L13" s="30"/>
      <c r="M13" s="31"/>
    </row>
    <row r="14" spans="1:13" ht="13" x14ac:dyDescent="0.3">
      <c r="A14" s="4"/>
      <c r="B14" s="44" t="s">
        <v>30</v>
      </c>
      <c r="C14" s="21">
        <f>+'FLUJO DE CAJA'!C57</f>
        <v>0</v>
      </c>
      <c r="D14" s="24">
        <f>('FLUJO DE CAJA'!D57/(1+$C$4)^D$6)</f>
        <v>213721000000</v>
      </c>
      <c r="E14" s="24">
        <f>('FLUJO DE CAJA'!E57/(1+$C$4)^E$6)</f>
        <v>188418642664.26642</v>
      </c>
      <c r="F14" s="24">
        <f>('FLUJO DE CAJA'!F57/(1+$C$4)^F$6)</f>
        <v>169595448833.81229</v>
      </c>
      <c r="G14" s="24">
        <f>('FLUJO DE CAJA'!G57/(1+$C$4)^G$6)</f>
        <v>152652755847.32419</v>
      </c>
      <c r="H14" s="24">
        <f>('FLUJO DE CAJA'!H57/(1+$C$4)^H$6)</f>
        <v>137401220384.63022</v>
      </c>
      <c r="I14" s="24">
        <f>('FLUJO DE CAJA'!I57/(1+$C$4)^I$6)</f>
        <v>0</v>
      </c>
      <c r="J14" s="24">
        <f>('FLUJO DE CAJA'!J57/(1+$C$4)^J$6)</f>
        <v>0</v>
      </c>
      <c r="K14" s="24">
        <f>('FLUJO DE CAJA'!K57/(1+$C$4)^K$6)</f>
        <v>0</v>
      </c>
      <c r="L14" s="24">
        <f>('FLUJO DE CAJA'!L57/(1+$C$4)^L$6)</f>
        <v>0</v>
      </c>
      <c r="M14" s="45">
        <f>('FLUJO DE CAJA'!M57/(1+$C$4)^M$6)</f>
        <v>0</v>
      </c>
    </row>
    <row r="15" spans="1:13" ht="13" x14ac:dyDescent="0.3">
      <c r="A15" s="4"/>
      <c r="B15" s="80"/>
      <c r="C15" s="81" t="s">
        <v>32</v>
      </c>
      <c r="D15" s="82" t="s">
        <v>49</v>
      </c>
      <c r="E15" s="83"/>
      <c r="F15" s="83"/>
      <c r="G15" s="83"/>
      <c r="H15" s="83"/>
      <c r="I15" s="83"/>
      <c r="J15" s="83"/>
      <c r="K15" s="83"/>
      <c r="L15" s="83"/>
      <c r="M15" s="84"/>
    </row>
    <row r="16" spans="1:13" ht="13" x14ac:dyDescent="0.3">
      <c r="A16" s="4"/>
      <c r="B16" s="79" t="s">
        <v>30</v>
      </c>
      <c r="C16" s="61">
        <f>+SUM(D14:M14)</f>
        <v>861789067730.0332</v>
      </c>
      <c r="D16" s="89">
        <f>+C16/'FLUJO DE CAJA'!$D$12</f>
        <v>277996473.46130103</v>
      </c>
      <c r="E16" s="78"/>
      <c r="F16" s="22"/>
      <c r="G16" s="22"/>
      <c r="H16" s="22"/>
      <c r="I16" s="22"/>
      <c r="J16" s="22"/>
      <c r="K16" s="22"/>
      <c r="L16" s="22"/>
      <c r="M16" s="22"/>
    </row>
    <row r="17" spans="1:17" ht="13" x14ac:dyDescent="0.3">
      <c r="A17" s="27"/>
      <c r="B17" s="26"/>
      <c r="C17" s="23"/>
      <c r="D17" s="23"/>
      <c r="E17" s="23"/>
      <c r="F17" s="23"/>
      <c r="G17" s="23"/>
      <c r="H17" s="23"/>
      <c r="I17" s="23"/>
      <c r="J17" s="23"/>
      <c r="K17" s="23"/>
      <c r="L17" s="23"/>
      <c r="M17" s="23"/>
    </row>
    <row r="18" spans="1:17" ht="13" x14ac:dyDescent="0.3">
      <c r="A18" s="27"/>
      <c r="B18" s="88" t="s">
        <v>45</v>
      </c>
      <c r="C18" s="30">
        <f>+C5</f>
        <v>2016</v>
      </c>
      <c r="D18" s="30">
        <f t="shared" ref="D18:M18" si="0">+D5</f>
        <v>2020</v>
      </c>
      <c r="E18" s="30">
        <f t="shared" si="0"/>
        <v>2021</v>
      </c>
      <c r="F18" s="30">
        <f t="shared" si="0"/>
        <v>2022</v>
      </c>
      <c r="G18" s="30">
        <f t="shared" si="0"/>
        <v>2023</v>
      </c>
      <c r="H18" s="30">
        <f t="shared" si="0"/>
        <v>2024</v>
      </c>
      <c r="I18" s="30">
        <f t="shared" si="0"/>
        <v>2025</v>
      </c>
      <c r="J18" s="30">
        <f t="shared" si="0"/>
        <v>2026</v>
      </c>
      <c r="K18" s="30">
        <f t="shared" si="0"/>
        <v>2027</v>
      </c>
      <c r="L18" s="30">
        <f t="shared" si="0"/>
        <v>2028</v>
      </c>
      <c r="M18" s="31">
        <f t="shared" si="0"/>
        <v>2029</v>
      </c>
    </row>
    <row r="19" spans="1:17" ht="13" x14ac:dyDescent="0.3">
      <c r="A19" s="27"/>
      <c r="B19" s="103" t="s">
        <v>30</v>
      </c>
      <c r="C19" s="104">
        <f>+C9-C14</f>
        <v>0</v>
      </c>
      <c r="D19" s="104">
        <f>+D9-D14</f>
        <v>-4421000000</v>
      </c>
      <c r="E19" s="105">
        <f>+E9-E14</f>
        <v>7299057605.7605896</v>
      </c>
      <c r="F19" s="105">
        <f t="shared" ref="F19:M19" si="1">+F9-F14</f>
        <v>6568097763.8717957</v>
      </c>
      <c r="G19" s="105">
        <f t="shared" si="1"/>
        <v>5910292395.415741</v>
      </c>
      <c r="H19" s="105">
        <f t="shared" si="1"/>
        <v>5319795135.3877258</v>
      </c>
      <c r="I19" s="105">
        <f t="shared" si="1"/>
        <v>0</v>
      </c>
      <c r="J19" s="105">
        <f t="shared" si="1"/>
        <v>0</v>
      </c>
      <c r="K19" s="105">
        <f t="shared" si="1"/>
        <v>0</v>
      </c>
      <c r="L19" s="105">
        <f t="shared" si="1"/>
        <v>0</v>
      </c>
      <c r="M19" s="106">
        <f t="shared" si="1"/>
        <v>0</v>
      </c>
    </row>
    <row r="20" spans="1:17" ht="29.25" customHeight="1" x14ac:dyDescent="0.3">
      <c r="A20" s="27"/>
      <c r="B20" s="110" t="s">
        <v>54</v>
      </c>
      <c r="C20" s="107"/>
      <c r="D20" s="107">
        <f>+D19</f>
        <v>-4421000000</v>
      </c>
      <c r="E20" s="108">
        <f>+E19+D20</f>
        <v>2878057605.7605896</v>
      </c>
      <c r="F20" s="108">
        <f>+F19+E20</f>
        <v>9446155369.6323853</v>
      </c>
      <c r="G20" s="108">
        <f>+G19+F20</f>
        <v>15356447765.048126</v>
      </c>
      <c r="H20" s="108">
        <f>+H19+G20</f>
        <v>20676242900.435852</v>
      </c>
      <c r="I20" s="108"/>
      <c r="J20" s="108"/>
      <c r="K20" s="108"/>
      <c r="L20" s="108"/>
      <c r="M20" s="109"/>
    </row>
    <row r="21" spans="1:17" ht="13" x14ac:dyDescent="0.3">
      <c r="A21" s="27"/>
      <c r="B21" s="26"/>
      <c r="C21" s="23"/>
      <c r="D21" s="23"/>
      <c r="E21" s="22"/>
      <c r="F21" s="22"/>
      <c r="G21" s="22"/>
      <c r="H21" s="22"/>
      <c r="I21" s="22"/>
      <c r="J21" s="22"/>
      <c r="K21" s="22"/>
      <c r="L21" s="22"/>
      <c r="M21" s="22"/>
    </row>
    <row r="22" spans="1:17" ht="13" x14ac:dyDescent="0.3">
      <c r="A22" s="4"/>
      <c r="B22" s="181" t="s">
        <v>18</v>
      </c>
      <c r="C22" s="92" t="s">
        <v>32</v>
      </c>
      <c r="D22" s="93" t="s">
        <v>49</v>
      </c>
      <c r="E22" s="7"/>
      <c r="F22" s="7"/>
      <c r="G22" s="7"/>
      <c r="H22" s="7"/>
      <c r="I22" s="7"/>
      <c r="J22" s="7"/>
      <c r="K22" s="7"/>
      <c r="L22" s="7"/>
      <c r="M22" s="7"/>
    </row>
    <row r="23" spans="1:17" ht="13" x14ac:dyDescent="0.3">
      <c r="A23" s="4"/>
      <c r="B23" s="182"/>
      <c r="C23" s="90">
        <f>+'FLUJO DE CAJA'!D40</f>
        <v>4421000000</v>
      </c>
      <c r="D23" s="91">
        <f>+C23/'FLUJO DE CAJA'!$D$12</f>
        <v>1426129.0322580645</v>
      </c>
      <c r="E23" s="78"/>
      <c r="F23" s="22"/>
      <c r="G23" s="22"/>
      <c r="H23" s="22"/>
      <c r="I23" s="22"/>
      <c r="J23" s="22"/>
      <c r="K23" s="22"/>
      <c r="L23" s="22"/>
      <c r="M23" s="22"/>
    </row>
    <row r="24" spans="1:17" ht="13" x14ac:dyDescent="0.3">
      <c r="A24" s="27"/>
      <c r="B24" s="26"/>
      <c r="C24" s="23"/>
      <c r="D24" s="23"/>
      <c r="E24" s="22"/>
      <c r="F24" s="22"/>
      <c r="G24" s="22"/>
      <c r="H24" s="22"/>
      <c r="I24" s="22"/>
      <c r="J24" s="22"/>
      <c r="K24" s="22"/>
      <c r="L24" s="22"/>
      <c r="M24" s="22"/>
    </row>
    <row r="25" spans="1:17" ht="13" x14ac:dyDescent="0.3">
      <c r="A25" s="4"/>
      <c r="B25" s="179" t="s">
        <v>31</v>
      </c>
      <c r="C25" s="92" t="s">
        <v>32</v>
      </c>
      <c r="D25" s="93" t="s">
        <v>49</v>
      </c>
      <c r="E25" s="7"/>
      <c r="F25" s="7"/>
      <c r="G25" s="7"/>
      <c r="H25" s="7"/>
      <c r="I25" s="7"/>
      <c r="J25" s="7"/>
      <c r="K25" s="7"/>
      <c r="L25" s="7"/>
      <c r="M25" s="7"/>
      <c r="N25" s="7"/>
      <c r="O25" s="7"/>
      <c r="P25" s="7"/>
      <c r="Q25" s="7"/>
    </row>
    <row r="26" spans="1:17" ht="13" x14ac:dyDescent="0.3">
      <c r="A26" s="4"/>
      <c r="B26" s="180"/>
      <c r="C26" s="90">
        <f>+C11-C16</f>
        <v>20676242900.435669</v>
      </c>
      <c r="D26" s="91">
        <f>+C26/'FLUJO DE CAJA'!$D$12</f>
        <v>6669755.774334087</v>
      </c>
      <c r="E26" s="78"/>
      <c r="F26" s="78"/>
      <c r="G26" s="78"/>
      <c r="H26" s="78"/>
      <c r="I26" s="78"/>
      <c r="J26" s="78"/>
      <c r="K26" s="78"/>
      <c r="L26" s="78"/>
      <c r="M26" s="78"/>
      <c r="N26" s="78"/>
      <c r="O26" s="78"/>
      <c r="P26" s="78"/>
      <c r="Q26" s="78"/>
    </row>
    <row r="27" spans="1:17" ht="13" x14ac:dyDescent="0.3">
      <c r="A27" s="4"/>
      <c r="B27" s="4"/>
      <c r="C27" s="56"/>
      <c r="D27" s="4"/>
      <c r="E27" s="7"/>
      <c r="F27" s="7"/>
      <c r="G27" s="7"/>
      <c r="H27" s="7"/>
      <c r="I27" s="7"/>
      <c r="J27" s="7"/>
      <c r="K27" s="7"/>
      <c r="L27" s="7"/>
      <c r="M27" s="7"/>
      <c r="N27" s="7"/>
      <c r="O27" s="7"/>
      <c r="P27" s="7"/>
      <c r="Q27" s="7"/>
    </row>
    <row r="28" spans="1:17" ht="39" x14ac:dyDescent="0.3">
      <c r="A28" s="4"/>
      <c r="B28" s="94" t="s">
        <v>41</v>
      </c>
      <c r="C28" s="95">
        <f>+(C11-C16)/C23</f>
        <v>4.6768249039664482</v>
      </c>
      <c r="D28" s="111" t="str">
        <f>+IF(C28&gt;1,"SE PUEDE ACEPTAR EL PROYECTO","NO SE DEBE ACEPTAR EL PROYECTO")</f>
        <v>SE PUEDE ACEPTAR EL PROYECTO</v>
      </c>
      <c r="E28" s="78"/>
      <c r="F28" s="78"/>
      <c r="G28" s="78"/>
      <c r="H28" s="78"/>
      <c r="I28" s="78"/>
      <c r="J28" s="78"/>
      <c r="K28" s="78"/>
      <c r="L28" s="78"/>
      <c r="M28" s="78"/>
      <c r="N28" s="78"/>
      <c r="O28" s="78"/>
      <c r="P28" s="78"/>
      <c r="Q28" s="78"/>
    </row>
    <row r="29" spans="1:17" ht="13" x14ac:dyDescent="0.3">
      <c r="A29" s="4"/>
      <c r="B29" s="4"/>
      <c r="C29" s="4"/>
      <c r="D29" s="4"/>
      <c r="E29" s="4"/>
      <c r="F29" s="4"/>
      <c r="G29" s="4"/>
      <c r="H29" s="4"/>
      <c r="I29" s="4"/>
      <c r="J29" s="4"/>
      <c r="K29" s="4"/>
      <c r="L29" s="4"/>
      <c r="M29" s="4"/>
    </row>
    <row r="30" spans="1:17" ht="13" x14ac:dyDescent="0.3">
      <c r="A30" s="4"/>
      <c r="B30" s="4"/>
      <c r="C30" s="4"/>
      <c r="D30" s="4"/>
      <c r="E30" s="4"/>
      <c r="F30" s="4"/>
      <c r="G30" s="4"/>
      <c r="H30" s="4"/>
      <c r="I30" s="4"/>
      <c r="J30" s="4"/>
      <c r="K30" s="4"/>
      <c r="L30" s="4"/>
      <c r="M30" s="4"/>
    </row>
    <row r="31" spans="1:17" ht="13" x14ac:dyDescent="0.3">
      <c r="A31" s="4"/>
      <c r="B31" s="4"/>
      <c r="C31" s="4"/>
      <c r="D31" s="4"/>
      <c r="E31" s="4"/>
      <c r="F31" s="4"/>
      <c r="G31" s="4"/>
      <c r="H31" s="4"/>
      <c r="I31" s="4"/>
      <c r="J31" s="4"/>
      <c r="K31" s="4"/>
      <c r="L31" s="4"/>
      <c r="M31" s="4"/>
    </row>
    <row r="32" spans="1:17" ht="13" x14ac:dyDescent="0.3">
      <c r="A32" s="4"/>
      <c r="B32" s="4"/>
      <c r="C32" s="4"/>
      <c r="D32" s="4"/>
      <c r="E32" s="4"/>
      <c r="F32" s="4"/>
      <c r="G32" s="4"/>
      <c r="H32" s="4"/>
      <c r="I32" s="4"/>
      <c r="J32" s="4"/>
      <c r="K32" s="4"/>
      <c r="L32" s="4"/>
      <c r="M32" s="4"/>
    </row>
    <row r="33" spans="1:13" ht="13" x14ac:dyDescent="0.3">
      <c r="A33" s="4"/>
      <c r="B33" s="4"/>
      <c r="C33" s="4"/>
      <c r="D33" s="4"/>
      <c r="E33" s="4"/>
      <c r="F33" s="4"/>
      <c r="G33" s="4"/>
      <c r="H33" s="4"/>
      <c r="I33" s="4"/>
      <c r="J33" s="4"/>
      <c r="K33" s="4"/>
      <c r="L33" s="4"/>
      <c r="M33" s="4"/>
    </row>
    <row r="34" spans="1:13" ht="13" x14ac:dyDescent="0.3">
      <c r="A34" s="4"/>
      <c r="B34" s="4"/>
      <c r="C34" s="4"/>
      <c r="D34" s="4"/>
      <c r="E34" s="4"/>
      <c r="F34" s="4"/>
      <c r="G34" s="4"/>
      <c r="H34" s="4"/>
      <c r="I34" s="4"/>
      <c r="J34" s="4"/>
      <c r="K34" s="4"/>
      <c r="L34" s="4"/>
      <c r="M34" s="4"/>
    </row>
    <row r="35" spans="1:13" ht="13" x14ac:dyDescent="0.3">
      <c r="A35" s="4"/>
      <c r="B35" s="4"/>
      <c r="C35" s="4"/>
      <c r="D35" s="4"/>
      <c r="E35" s="4"/>
      <c r="F35" s="4"/>
      <c r="G35" s="4"/>
      <c r="H35" s="4"/>
      <c r="I35" s="4"/>
      <c r="J35" s="4"/>
      <c r="K35" s="4"/>
      <c r="L35" s="4"/>
      <c r="M35" s="4"/>
    </row>
    <row r="36" spans="1:13" ht="13" x14ac:dyDescent="0.3">
      <c r="A36" s="4"/>
      <c r="B36" s="4"/>
      <c r="C36" s="4"/>
      <c r="D36" s="4"/>
      <c r="E36" s="4"/>
      <c r="F36" s="4"/>
      <c r="G36" s="4"/>
      <c r="H36" s="4"/>
      <c r="I36" s="4"/>
      <c r="J36" s="4"/>
      <c r="K36" s="4"/>
      <c r="L36" s="4"/>
      <c r="M36" s="4"/>
    </row>
    <row r="37" spans="1:13" ht="13" x14ac:dyDescent="0.3">
      <c r="A37" s="4"/>
      <c r="B37" s="4"/>
      <c r="C37" s="4"/>
      <c r="D37" s="4"/>
      <c r="E37" s="4"/>
      <c r="F37" s="4"/>
      <c r="G37" s="4"/>
      <c r="H37" s="4"/>
      <c r="I37" s="4"/>
      <c r="J37" s="4"/>
      <c r="K37" s="4"/>
      <c r="L37" s="4"/>
      <c r="M37" s="4"/>
    </row>
    <row r="38" spans="1:13" ht="13" x14ac:dyDescent="0.3">
      <c r="A38" s="4"/>
      <c r="B38" s="4"/>
      <c r="C38" s="4"/>
      <c r="D38" s="4"/>
      <c r="E38" s="4"/>
      <c r="F38" s="4"/>
      <c r="G38" s="4"/>
      <c r="H38" s="4"/>
      <c r="I38" s="4"/>
      <c r="J38" s="4"/>
      <c r="K38" s="4"/>
      <c r="L38" s="4"/>
      <c r="M38" s="4"/>
    </row>
    <row r="39" spans="1:13" ht="13" x14ac:dyDescent="0.3">
      <c r="A39" s="4"/>
      <c r="B39" s="4"/>
      <c r="C39" s="4"/>
      <c r="D39" s="4"/>
      <c r="E39" s="4"/>
      <c r="F39" s="4"/>
      <c r="G39" s="4"/>
      <c r="H39" s="4"/>
      <c r="I39" s="4"/>
      <c r="J39" s="4"/>
      <c r="K39" s="4"/>
      <c r="L39" s="4"/>
      <c r="M39" s="4"/>
    </row>
    <row r="40" spans="1:13" ht="13" x14ac:dyDescent="0.3">
      <c r="A40" s="4"/>
      <c r="B40" s="4"/>
      <c r="C40" s="4"/>
      <c r="D40" s="4"/>
      <c r="E40" s="4"/>
      <c r="F40" s="4"/>
      <c r="G40" s="4"/>
      <c r="H40" s="4"/>
      <c r="I40" s="4"/>
      <c r="J40" s="4"/>
      <c r="K40" s="4"/>
      <c r="L40" s="4"/>
      <c r="M40" s="4"/>
    </row>
    <row r="41" spans="1:13" ht="13" x14ac:dyDescent="0.3">
      <c r="A41" s="4"/>
      <c r="B41" s="4"/>
      <c r="C41" s="4"/>
      <c r="D41" s="4"/>
      <c r="E41" s="4"/>
      <c r="F41" s="4"/>
      <c r="G41" s="4"/>
      <c r="H41" s="4"/>
      <c r="I41" s="4"/>
      <c r="J41" s="4"/>
      <c r="K41" s="4"/>
      <c r="L41" s="4"/>
      <c r="M41" s="4"/>
    </row>
    <row r="42" spans="1:13" ht="13" x14ac:dyDescent="0.3">
      <c r="A42" s="4"/>
      <c r="B42" s="4"/>
      <c r="C42" s="4"/>
      <c r="D42" s="4"/>
      <c r="E42" s="4"/>
      <c r="F42" s="4"/>
      <c r="G42" s="4"/>
      <c r="H42" s="4"/>
      <c r="I42" s="4"/>
      <c r="J42" s="4"/>
      <c r="K42" s="4"/>
      <c r="L42" s="4"/>
      <c r="M42" s="4"/>
    </row>
    <row r="43" spans="1:13" ht="13"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SUPUESTOS</vt:lpstr>
      <vt:lpstr>FLUJO DE CAJA</vt:lpstr>
      <vt:lpstr>Inversion</vt:lpstr>
      <vt:lpstr>Calculo Riesgos y Costos</vt:lpstr>
      <vt:lpstr>EVALUACION FINANCIERA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Maria Chaparro Palomar (AB PROYECTOS S.A)</dc:creator>
  <cp:lastModifiedBy>Jaime Alberto Fernández</cp:lastModifiedBy>
  <cp:lastPrinted>2016-08-18T02:40:22Z</cp:lastPrinted>
  <dcterms:created xsi:type="dcterms:W3CDTF">2012-08-14T19:50:03Z</dcterms:created>
  <dcterms:modified xsi:type="dcterms:W3CDTF">2020-05-28T23:15:29Z</dcterms:modified>
</cp:coreProperties>
</file>