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ad_Pro_3.1\Desktop\Excel all practice files\"/>
    </mc:Choice>
  </mc:AlternateContent>
  <bookViews>
    <workbookView xWindow="-120" yWindow="-120" windowWidth="20730" windowHeight="11160" tabRatio="913" firstSheet="1" activeTab="19"/>
  </bookViews>
  <sheets>
    <sheet name="FREQUENCY" sheetId="1" r:id="rId1"/>
    <sheet name="INDEX &amp; MATCH" sheetId="2" r:id="rId2"/>
    <sheet name="LOOKUP" sheetId="3" r:id="rId3"/>
    <sheet name="VLOOKUP" sheetId="4" r:id="rId4"/>
    <sheet name="HLOOKUP" sheetId="5" r:id="rId5"/>
    <sheet name="SUMIF" sheetId="6" r:id="rId6"/>
    <sheet name="SUMIFS" sheetId="7" r:id="rId7"/>
    <sheet name="COUNTIF" sheetId="8" r:id="rId8"/>
    <sheet name="COUNTIFS" sheetId="9" r:id="rId9"/>
    <sheet name="COUNTA &amp; COUNT BLANK" sheetId="11" r:id="rId10"/>
    <sheet name="AVERAGEIF AND AVERAGE IFS" sheetId="12" r:id="rId11"/>
    <sheet name="SUBTOTAL" sheetId="13" r:id="rId12"/>
    <sheet name="SUMPRODUCT" sheetId="14" r:id="rId13"/>
    <sheet name="IF FORMULA" sheetId="15" r:id="rId14"/>
    <sheet name="IF AND IF OR" sheetId="16" r:id="rId15"/>
    <sheet name="NESTED IF" sheetId="17" r:id="rId16"/>
    <sheet name="LEFT, MID, RIGHT, FIND " sheetId="19" r:id="rId17"/>
    <sheet name="REPEAT" sheetId="22" r:id="rId18"/>
    <sheet name="SUBSTITUTE" sheetId="21" r:id="rId19"/>
    <sheet name="PMT,IPMT,PPMT,PV,FV" sheetId="20" r:id="rId20"/>
  </sheets>
  <definedNames>
    <definedName name="LIST1">VLOOKUP!$A:$E</definedName>
    <definedName name="LIST2">HLOOKUP!$1:$5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0" l="1"/>
  <c r="F4" i="21" l="1"/>
  <c r="F5" i="21"/>
  <c r="F6" i="21"/>
  <c r="F3" i="21"/>
  <c r="E6" i="21"/>
  <c r="E4" i="21"/>
  <c r="E5" i="21"/>
  <c r="E3" i="21"/>
  <c r="G4" i="22"/>
  <c r="G5" i="22"/>
  <c r="G6" i="22"/>
  <c r="G7" i="22"/>
  <c r="G3" i="22"/>
  <c r="M3" i="19"/>
  <c r="M4" i="19"/>
  <c r="N4" i="19" s="1"/>
  <c r="M5" i="19"/>
  <c r="M6" i="19"/>
  <c r="M7" i="19"/>
  <c r="N7" i="19" s="1"/>
  <c r="M8" i="19"/>
  <c r="N8" i="19" s="1"/>
  <c r="M9" i="19"/>
  <c r="N9" i="19" s="1"/>
  <c r="M10" i="19"/>
  <c r="N10" i="19" s="1"/>
  <c r="M11" i="19"/>
  <c r="M12" i="19"/>
  <c r="N12" i="19" s="1"/>
  <c r="M13" i="19"/>
  <c r="M2" i="19"/>
  <c r="N2" i="19" s="1"/>
  <c r="N3" i="19"/>
  <c r="N5" i="19"/>
  <c r="N6" i="19"/>
  <c r="N11" i="19"/>
  <c r="N13" i="19"/>
  <c r="J3" i="19"/>
  <c r="J4" i="19"/>
  <c r="J5" i="19"/>
  <c r="J6" i="19"/>
  <c r="J7" i="19"/>
  <c r="J8" i="19"/>
  <c r="J9" i="19"/>
  <c r="J10" i="19"/>
  <c r="J11" i="19"/>
  <c r="J12" i="19"/>
  <c r="J13" i="19"/>
  <c r="J2" i="19"/>
  <c r="K3" i="19"/>
  <c r="K4" i="19"/>
  <c r="K5" i="19"/>
  <c r="K6" i="19"/>
  <c r="K7" i="19"/>
  <c r="K8" i="19"/>
  <c r="K9" i="19"/>
  <c r="K10" i="19"/>
  <c r="K11" i="19"/>
  <c r="K12" i="19"/>
  <c r="K13" i="19"/>
  <c r="K2" i="19"/>
  <c r="I3" i="19"/>
  <c r="I4" i="19"/>
  <c r="I5" i="19"/>
  <c r="I6" i="19"/>
  <c r="I7" i="19"/>
  <c r="I8" i="19"/>
  <c r="I9" i="19"/>
  <c r="I10" i="19"/>
  <c r="I11" i="19"/>
  <c r="I12" i="19"/>
  <c r="I13" i="19"/>
  <c r="I2" i="19"/>
  <c r="I18" i="17"/>
  <c r="I19" i="17"/>
  <c r="I20" i="17"/>
  <c r="I21" i="17"/>
  <c r="I22" i="17"/>
  <c r="I23" i="17"/>
  <c r="I24" i="17"/>
  <c r="I25" i="17"/>
  <c r="I26" i="17"/>
  <c r="I27" i="17"/>
  <c r="I28" i="17"/>
  <c r="I17" i="17"/>
  <c r="F3" i="17"/>
  <c r="F4" i="17"/>
  <c r="F5" i="17"/>
  <c r="F6" i="17"/>
  <c r="F7" i="17"/>
  <c r="F8" i="17"/>
  <c r="F9" i="17"/>
  <c r="F10" i="17"/>
  <c r="F11" i="17"/>
  <c r="F12" i="17"/>
  <c r="F13" i="17"/>
  <c r="F2" i="17"/>
  <c r="E2" i="16"/>
  <c r="F2" i="16"/>
  <c r="G2" i="16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3" i="15"/>
  <c r="E4" i="15"/>
  <c r="E5" i="15"/>
  <c r="E6" i="15"/>
  <c r="E7" i="15"/>
  <c r="E8" i="15"/>
  <c r="E9" i="15"/>
  <c r="E10" i="15"/>
  <c r="E11" i="15"/>
  <c r="E12" i="15"/>
  <c r="E13" i="15"/>
  <c r="E2" i="15"/>
  <c r="J5" i="14"/>
  <c r="E14" i="14"/>
  <c r="G14" i="14"/>
  <c r="G3" i="14"/>
  <c r="G4" i="14"/>
  <c r="G5" i="14"/>
  <c r="G6" i="14"/>
  <c r="G7" i="14"/>
  <c r="G8" i="14"/>
  <c r="G9" i="14"/>
  <c r="G10" i="14"/>
  <c r="G11" i="14"/>
  <c r="G12" i="14"/>
  <c r="G13" i="14"/>
  <c r="G2" i="14"/>
  <c r="F2" i="13"/>
  <c r="H11" i="12"/>
  <c r="H10" i="12"/>
  <c r="H9" i="12"/>
  <c r="G10" i="12"/>
  <c r="G11" i="12"/>
  <c r="G9" i="12"/>
  <c r="G16" i="12"/>
  <c r="G17" i="12"/>
  <c r="X14" i="11"/>
  <c r="X13" i="11"/>
  <c r="X11" i="11"/>
  <c r="X10" i="11"/>
  <c r="G11" i="9"/>
  <c r="G12" i="9"/>
  <c r="H12" i="9"/>
  <c r="G13" i="9"/>
  <c r="H13" i="9"/>
  <c r="H11" i="9"/>
  <c r="G10" i="8"/>
  <c r="G11" i="8"/>
  <c r="G9" i="8"/>
  <c r="G2" i="8"/>
  <c r="M10" i="7"/>
  <c r="M11" i="7"/>
  <c r="M12" i="7"/>
  <c r="M13" i="7"/>
  <c r="M14" i="7"/>
  <c r="M15" i="7"/>
  <c r="M9" i="7"/>
  <c r="L10" i="7"/>
  <c r="L11" i="7"/>
  <c r="L12" i="7"/>
  <c r="L13" i="7"/>
  <c r="L14" i="7"/>
  <c r="L15" i="7"/>
  <c r="L9" i="7"/>
  <c r="G10" i="7"/>
  <c r="G11" i="7"/>
  <c r="G12" i="7"/>
  <c r="G13" i="7"/>
  <c r="G14" i="7"/>
  <c r="G9" i="7"/>
  <c r="H2" i="7"/>
  <c r="F7" i="6"/>
  <c r="F8" i="6"/>
  <c r="F9" i="6"/>
  <c r="F10" i="6"/>
  <c r="L9" i="5" l="1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10" i="5"/>
  <c r="K10" i="5"/>
  <c r="J11" i="5"/>
  <c r="K11" i="5"/>
  <c r="J12" i="5"/>
  <c r="K12" i="5"/>
  <c r="J13" i="5"/>
  <c r="K13" i="5"/>
  <c r="J14" i="5"/>
  <c r="K14" i="5"/>
  <c r="J15" i="5"/>
  <c r="K15" i="5"/>
  <c r="K9" i="5"/>
  <c r="J9" i="5"/>
  <c r="F9" i="5"/>
  <c r="H11" i="4"/>
  <c r="H12" i="4"/>
  <c r="H13" i="4"/>
  <c r="H14" i="4"/>
  <c r="O16" i="3"/>
  <c r="N16" i="3"/>
  <c r="M16" i="3"/>
  <c r="H5" i="2"/>
  <c r="E3" i="1" l="1"/>
  <c r="E4" i="1"/>
  <c r="E5" i="1"/>
  <c r="E6" i="1"/>
  <c r="E7" i="1"/>
  <c r="E8" i="1"/>
  <c r="E9" i="1"/>
  <c r="E10" i="1"/>
  <c r="E2" i="1"/>
  <c r="O7" i="20" l="1"/>
  <c r="L7" i="20"/>
  <c r="H3" i="20"/>
  <c r="H4" i="20"/>
  <c r="H5" i="20"/>
  <c r="H6" i="20"/>
  <c r="H7" i="20"/>
  <c r="H8" i="20"/>
  <c r="H9" i="20"/>
  <c r="H10" i="20"/>
  <c r="H11" i="20"/>
  <c r="H2" i="20"/>
  <c r="H12" i="20" s="1"/>
  <c r="G5" i="20"/>
  <c r="I5" i="20" s="1"/>
  <c r="G6" i="20"/>
  <c r="I6" i="20" s="1"/>
  <c r="G7" i="20"/>
  <c r="I7" i="20" s="1"/>
  <c r="G8" i="20"/>
  <c r="I8" i="20" s="1"/>
  <c r="G9" i="20"/>
  <c r="I9" i="20" s="1"/>
  <c r="G10" i="20"/>
  <c r="I10" i="20" s="1"/>
  <c r="G11" i="20"/>
  <c r="I11" i="20" s="1"/>
  <c r="G4" i="20"/>
  <c r="I4" i="20" s="1"/>
  <c r="G3" i="20"/>
  <c r="I3" i="20" s="1"/>
  <c r="G2" i="20"/>
  <c r="G12" i="20" s="1"/>
  <c r="C7" i="20"/>
  <c r="C8" i="20" s="1"/>
  <c r="C9" i="20" s="1"/>
  <c r="B6" i="21"/>
  <c r="B5" i="21"/>
  <c r="C4" i="22"/>
  <c r="C5" i="22"/>
  <c r="C6" i="22"/>
  <c r="C7" i="22"/>
  <c r="C3" i="22"/>
  <c r="F3" i="19"/>
  <c r="F4" i="19"/>
  <c r="F5" i="19"/>
  <c r="F6" i="19"/>
  <c r="F7" i="19"/>
  <c r="F8" i="19"/>
  <c r="F9" i="19"/>
  <c r="F10" i="19"/>
  <c r="F11" i="19"/>
  <c r="F12" i="19"/>
  <c r="F13" i="19"/>
  <c r="F2" i="19"/>
  <c r="G3" i="19"/>
  <c r="G4" i="19"/>
  <c r="G5" i="19"/>
  <c r="G6" i="19"/>
  <c r="G7" i="19"/>
  <c r="G8" i="19"/>
  <c r="G9" i="19"/>
  <c r="G10" i="19"/>
  <c r="G11" i="19"/>
  <c r="G12" i="19"/>
  <c r="G13" i="19"/>
  <c r="G2" i="19"/>
  <c r="D3" i="19"/>
  <c r="D4" i="19"/>
  <c r="D5" i="19"/>
  <c r="D6" i="19"/>
  <c r="D7" i="19"/>
  <c r="D8" i="19"/>
  <c r="D9" i="19"/>
  <c r="D10" i="19"/>
  <c r="D11" i="19"/>
  <c r="D12" i="19"/>
  <c r="D13" i="19"/>
  <c r="D2" i="19"/>
  <c r="C3" i="19"/>
  <c r="C4" i="19"/>
  <c r="C5" i="19"/>
  <c r="C6" i="19"/>
  <c r="C7" i="19"/>
  <c r="C8" i="19"/>
  <c r="C9" i="19"/>
  <c r="C10" i="19"/>
  <c r="C11" i="19"/>
  <c r="C12" i="19"/>
  <c r="C13" i="19"/>
  <c r="C2" i="19"/>
  <c r="B3" i="19"/>
  <c r="B4" i="19"/>
  <c r="B5" i="19"/>
  <c r="B6" i="19"/>
  <c r="B7" i="19"/>
  <c r="B8" i="19"/>
  <c r="B9" i="19"/>
  <c r="B10" i="19"/>
  <c r="B11" i="19"/>
  <c r="B12" i="19"/>
  <c r="B13" i="19"/>
  <c r="B2" i="19"/>
  <c r="E3" i="17"/>
  <c r="E4" i="17"/>
  <c r="E5" i="17"/>
  <c r="E6" i="17"/>
  <c r="E7" i="17"/>
  <c r="E8" i="17"/>
  <c r="E9" i="17"/>
  <c r="E10" i="17"/>
  <c r="E11" i="17"/>
  <c r="E12" i="17"/>
  <c r="E13" i="17"/>
  <c r="E2" i="17"/>
  <c r="D2" i="15"/>
  <c r="D3" i="15"/>
  <c r="D4" i="15"/>
  <c r="D5" i="15"/>
  <c r="D6" i="15"/>
  <c r="D7" i="15"/>
  <c r="D8" i="15"/>
  <c r="D9" i="15"/>
  <c r="D10" i="15"/>
  <c r="D11" i="15"/>
  <c r="D12" i="15"/>
  <c r="D13" i="15"/>
  <c r="E3" i="14"/>
  <c r="E4" i="14"/>
  <c r="E5" i="14"/>
  <c r="E6" i="14"/>
  <c r="E7" i="14"/>
  <c r="E8" i="14"/>
  <c r="E9" i="14"/>
  <c r="E10" i="14"/>
  <c r="E11" i="14"/>
  <c r="E12" i="14"/>
  <c r="E13" i="14"/>
  <c r="E2" i="14"/>
  <c r="H4" i="12"/>
  <c r="G3" i="12"/>
  <c r="H3" i="12"/>
  <c r="G4" i="12"/>
  <c r="H2" i="12"/>
  <c r="G2" i="12"/>
  <c r="J3" i="12"/>
  <c r="J4" i="12"/>
  <c r="J2" i="12"/>
  <c r="G3" i="8"/>
  <c r="G4" i="8"/>
  <c r="F2" i="6"/>
  <c r="F3" i="6"/>
  <c r="F1" i="6"/>
  <c r="X7" i="11"/>
  <c r="X6" i="11"/>
  <c r="X4" i="11"/>
  <c r="X3" i="11"/>
  <c r="G3" i="9"/>
  <c r="H3" i="9"/>
  <c r="G4" i="9"/>
  <c r="H4" i="9"/>
  <c r="H2" i="9"/>
  <c r="G2" i="9"/>
  <c r="H3" i="7"/>
  <c r="H4" i="7"/>
  <c r="G3" i="7"/>
  <c r="G4" i="7"/>
  <c r="G2" i="7"/>
  <c r="G9" i="5"/>
  <c r="E9" i="5"/>
  <c r="D9" i="5"/>
  <c r="E11" i="5"/>
  <c r="F11" i="5"/>
  <c r="G11" i="5"/>
  <c r="D11" i="5"/>
  <c r="I2" i="20" l="1"/>
  <c r="I12" i="20" s="1"/>
  <c r="B3" i="21"/>
  <c r="B4" i="21"/>
  <c r="Q6" i="20" l="1"/>
  <c r="D16" i="20" l="1"/>
  <c r="E16" i="20" l="1"/>
  <c r="D17" i="20"/>
  <c r="E17" i="20" s="1"/>
</calcChain>
</file>

<file path=xl/sharedStrings.xml><?xml version="1.0" encoding="utf-8"?>
<sst xmlns="http://schemas.openxmlformats.org/spreadsheetml/2006/main" count="854" uniqueCount="253">
  <si>
    <t>Emp ID</t>
  </si>
  <si>
    <t>Emp Name</t>
  </si>
  <si>
    <t>Age</t>
  </si>
  <si>
    <t>Ashok Singh</t>
  </si>
  <si>
    <t>Shankar Jadhav</t>
  </si>
  <si>
    <t>Vinod Kale</t>
  </si>
  <si>
    <t>Rajendra Verma</t>
  </si>
  <si>
    <t>Raj Singh</t>
  </si>
  <si>
    <t>Santosh Kale</t>
  </si>
  <si>
    <t>Sameer Shinde</t>
  </si>
  <si>
    <t>Ravi Verma</t>
  </si>
  <si>
    <t>Kiran Bhor</t>
  </si>
  <si>
    <t>Vinod Singh</t>
  </si>
  <si>
    <t>Kiran Katekar</t>
  </si>
  <si>
    <t>Ashok Singhania</t>
  </si>
  <si>
    <t>Viresh Pal</t>
  </si>
  <si>
    <t>Vinod Kelkar</t>
  </si>
  <si>
    <t>Rajendra Tasme</t>
  </si>
  <si>
    <t>Zora Shaikh</t>
  </si>
  <si>
    <t>Abdul Shaikh</t>
  </si>
  <si>
    <t>Vinod Pal</t>
  </si>
  <si>
    <t>Sameer Vaje</t>
  </si>
  <si>
    <t>Ravi Verman</t>
  </si>
  <si>
    <t>TIME/TEACHER</t>
  </si>
  <si>
    <t>Asif Sir</t>
  </si>
  <si>
    <t>Vikrant Sir</t>
  </si>
  <si>
    <t>Rahul Sir</t>
  </si>
  <si>
    <t>Akshay Sir</t>
  </si>
  <si>
    <t>Tally</t>
  </si>
  <si>
    <t>Excel</t>
  </si>
  <si>
    <t>DTP</t>
  </si>
  <si>
    <t>Ms-Office</t>
  </si>
  <si>
    <t>Ms-office</t>
  </si>
  <si>
    <t>Batches Time Table</t>
  </si>
  <si>
    <t>NAME</t>
  </si>
  <si>
    <t>PAY DAYS</t>
  </si>
  <si>
    <t>BASIC</t>
  </si>
  <si>
    <t>DA</t>
  </si>
  <si>
    <t>TOTAL PAY</t>
  </si>
  <si>
    <t>PF</t>
  </si>
  <si>
    <t>ESI</t>
  </si>
  <si>
    <t>NET PAY</t>
  </si>
  <si>
    <t>AMIT MAHATA</t>
  </si>
  <si>
    <t>ASHIS MAHATA</t>
  </si>
  <si>
    <t>BARUN RAY</t>
  </si>
  <si>
    <t>BHADU DOLAI</t>
  </si>
  <si>
    <t>BHAKTIPADA DULE</t>
  </si>
  <si>
    <t>BHOLANATH DOLAI</t>
  </si>
  <si>
    <t>BIMAL HANSDA</t>
  </si>
  <si>
    <t>CHITTARANJAN MAHATA</t>
  </si>
  <si>
    <t>CHITTRANJAN GHOSH</t>
  </si>
  <si>
    <t>DIPAK ADHIKARY</t>
  </si>
  <si>
    <t>DIPAK MAHATA</t>
  </si>
  <si>
    <t>GANGA ROY</t>
  </si>
  <si>
    <t>GOUR MAHATA</t>
  </si>
  <si>
    <t>JADUNATH KARMAKAR</t>
  </si>
  <si>
    <t>JHANTU MAHATA (1)</t>
  </si>
  <si>
    <t>JHANTU MAHATA (2)</t>
  </si>
  <si>
    <t>JITEN MAHATO</t>
  </si>
  <si>
    <t>JITENDRA BHANDARI</t>
  </si>
  <si>
    <t>KARTICK MANDI</t>
  </si>
  <si>
    <t>KARTIK MAHATA</t>
  </si>
  <si>
    <t>Account No</t>
  </si>
  <si>
    <t>AcctType</t>
  </si>
  <si>
    <t>Branch</t>
  </si>
  <si>
    <t>Customer</t>
  </si>
  <si>
    <t>IRA</t>
  </si>
  <si>
    <t>Central</t>
  </si>
  <si>
    <t>Existing</t>
  </si>
  <si>
    <t>CD</t>
  </si>
  <si>
    <t>New</t>
  </si>
  <si>
    <t>Checking</t>
  </si>
  <si>
    <t>Savings</t>
  </si>
  <si>
    <t>North County</t>
  </si>
  <si>
    <t>Westside</t>
  </si>
  <si>
    <t>Amount</t>
  </si>
  <si>
    <t>Employee Code</t>
  </si>
  <si>
    <t>Designation</t>
  </si>
  <si>
    <t>Salary</t>
  </si>
  <si>
    <t>TCS 1</t>
  </si>
  <si>
    <t>MIS Executive</t>
  </si>
  <si>
    <t>TCS 2</t>
  </si>
  <si>
    <t>Consultant</t>
  </si>
  <si>
    <t>TCS 3</t>
  </si>
  <si>
    <t>Accounts Executive</t>
  </si>
  <si>
    <t>TCS 4</t>
  </si>
  <si>
    <t>TCS 5</t>
  </si>
  <si>
    <t>TCS 6</t>
  </si>
  <si>
    <t>TCS 7</t>
  </si>
  <si>
    <t>TCS 8</t>
  </si>
  <si>
    <t>TCS 9</t>
  </si>
  <si>
    <t>TCS 10</t>
  </si>
  <si>
    <t>TCS 11</t>
  </si>
  <si>
    <t>TCS 12</t>
  </si>
  <si>
    <t>Date</t>
  </si>
  <si>
    <t>Transction Type</t>
  </si>
  <si>
    <t>Debit/Credit</t>
  </si>
  <si>
    <t>Online</t>
  </si>
  <si>
    <t>Cash</t>
  </si>
  <si>
    <t>Debit Card</t>
  </si>
  <si>
    <t>Debit</t>
  </si>
  <si>
    <t>Credit</t>
  </si>
  <si>
    <t>TOTAL</t>
  </si>
  <si>
    <t>SEMINAR SEAT BOOKINGS</t>
  </si>
  <si>
    <t>BOOKED</t>
  </si>
  <si>
    <t>PENDING</t>
  </si>
  <si>
    <t>MALE</t>
  </si>
  <si>
    <t>FEMALE</t>
  </si>
  <si>
    <t>F</t>
  </si>
  <si>
    <t>M</t>
  </si>
  <si>
    <t>RATE</t>
  </si>
  <si>
    <t>DVD</t>
  </si>
  <si>
    <t>PENDRIVE</t>
  </si>
  <si>
    <t>KEYBOARD</t>
  </si>
  <si>
    <t>MOUSE</t>
  </si>
  <si>
    <t>SPEAKER</t>
  </si>
  <si>
    <t>LED</t>
  </si>
  <si>
    <t>LCD</t>
  </si>
  <si>
    <t>HDD</t>
  </si>
  <si>
    <t>CPU</t>
  </si>
  <si>
    <t>RAM</t>
  </si>
  <si>
    <t>CABINET</t>
  </si>
  <si>
    <t>SPMS</t>
  </si>
  <si>
    <t>EMP</t>
  </si>
  <si>
    <t>BASIC SALARY</t>
  </si>
  <si>
    <t>BONUS</t>
  </si>
  <si>
    <t>DESG</t>
  </si>
  <si>
    <t>MANAGER</t>
  </si>
  <si>
    <t>SUPERVISOR</t>
  </si>
  <si>
    <t>PEON</t>
  </si>
  <si>
    <t>CLERK</t>
  </si>
  <si>
    <t>CITY AND PINCODE</t>
  </si>
  <si>
    <t>Mumbai -400086</t>
  </si>
  <si>
    <t>Mumbai -400087</t>
  </si>
  <si>
    <t>Mumbai -400088</t>
  </si>
  <si>
    <t>Mumbai -400089</t>
  </si>
  <si>
    <t>Mumbai -400090</t>
  </si>
  <si>
    <t>Mumbai -400091</t>
  </si>
  <si>
    <t>Mumbai -400092</t>
  </si>
  <si>
    <t>Mumbai -400093</t>
  </si>
  <si>
    <t>Mumbai -400094</t>
  </si>
  <si>
    <t>Mumbai -400095</t>
  </si>
  <si>
    <t>Mumbai -400096</t>
  </si>
  <si>
    <t>Delhi -400087</t>
  </si>
  <si>
    <t>Pune -400088</t>
  </si>
  <si>
    <t>Chennai -400089</t>
  </si>
  <si>
    <t>Alhabad -400090</t>
  </si>
  <si>
    <t>Surat -400091</t>
  </si>
  <si>
    <t>Punji -400093</t>
  </si>
  <si>
    <t>Bhopal -400094</t>
  </si>
  <si>
    <t>Ranchi -400095</t>
  </si>
  <si>
    <t>Amrutsar -400096</t>
  </si>
  <si>
    <t>Kolkatta -400097</t>
  </si>
  <si>
    <t>MANNUAL CALCULATION</t>
  </si>
  <si>
    <t>INTEREST</t>
  </si>
  <si>
    <t>TOTAL PAID</t>
  </si>
  <si>
    <t>AFTER 60 M</t>
  </si>
  <si>
    <t>FUTURE VALUE</t>
  </si>
  <si>
    <t>LOAN AMOUNT</t>
  </si>
  <si>
    <t>EMI</t>
  </si>
  <si>
    <t>PMT</t>
  </si>
  <si>
    <t>PERIOD</t>
  </si>
  <si>
    <t>"N" NUMBER OF PERIOD</t>
  </si>
  <si>
    <t>MONTHS</t>
  </si>
  <si>
    <t>DURATION</t>
  </si>
  <si>
    <t>P.V</t>
  </si>
  <si>
    <t>RUPEES</t>
  </si>
  <si>
    <t>INTEREST RATE</t>
  </si>
  <si>
    <t>%AGE</t>
  </si>
  <si>
    <t>PER ANNM</t>
  </si>
  <si>
    <t>FORMULA ARGUMENTS</t>
  </si>
  <si>
    <t>GENERAL NAMES</t>
  </si>
  <si>
    <t>FV</t>
  </si>
  <si>
    <t>PV</t>
  </si>
  <si>
    <t>PPMT</t>
  </si>
  <si>
    <t>IPMT</t>
  </si>
  <si>
    <t>PAYMENT TERMS</t>
  </si>
  <si>
    <t>DELHI,400001</t>
  </si>
  <si>
    <t>9812-12-12-12</t>
  </si>
  <si>
    <t>MUMBAI, 400086</t>
  </si>
  <si>
    <t>9812-34-56-78</t>
  </si>
  <si>
    <t>AFTER SUBSTITUTE</t>
  </si>
  <si>
    <t>MOB NO / DATA</t>
  </si>
  <si>
    <t>Star</t>
  </si>
  <si>
    <t>Ratings</t>
  </si>
  <si>
    <t>Software</t>
  </si>
  <si>
    <t>Photoshop</t>
  </si>
  <si>
    <t>Word</t>
  </si>
  <si>
    <t>PowerPoint</t>
  </si>
  <si>
    <t>Unique</t>
  </si>
  <si>
    <t>Debit CARD</t>
  </si>
  <si>
    <t>COUNTING</t>
  </si>
  <si>
    <t>ITEM NAME</t>
  </si>
  <si>
    <t>QTY</t>
  </si>
  <si>
    <t>LEFT</t>
  </si>
  <si>
    <t>RIGHT</t>
  </si>
  <si>
    <t>MID</t>
  </si>
  <si>
    <t>Ahmedabad -400092</t>
  </si>
  <si>
    <t xml:space="preserve">frequency </t>
  </si>
  <si>
    <t>Index &amp; Match</t>
  </si>
  <si>
    <t xml:space="preserve"> SELECT</t>
  </si>
  <si>
    <t>Sr.No</t>
  </si>
  <si>
    <t>LookUp</t>
  </si>
  <si>
    <t>Pay Days</t>
  </si>
  <si>
    <t>S.No</t>
  </si>
  <si>
    <t>Net Pay</t>
  </si>
  <si>
    <t>Vlookup formula Usage</t>
  </si>
  <si>
    <t xml:space="preserve"> =HLOOKUP(I14,LIST2,4,0)</t>
  </si>
  <si>
    <t>SUMIF FORMULA</t>
  </si>
  <si>
    <t>TCS 13</t>
  </si>
  <si>
    <t>Operator</t>
  </si>
  <si>
    <t>TCS 14</t>
  </si>
  <si>
    <t>Sum if is used to sum all the salary of a one single person through the year</t>
  </si>
  <si>
    <t>or we can use it in the same scenario in other part.</t>
  </si>
  <si>
    <t>f</t>
  </si>
  <si>
    <t>m</t>
  </si>
  <si>
    <t xml:space="preserve">Total= </t>
  </si>
  <si>
    <t>Multiply and then take Sum</t>
  </si>
  <si>
    <t>By using SumProduct</t>
  </si>
  <si>
    <t>Just take QTY and RATE in range</t>
  </si>
  <si>
    <t>BONUS2</t>
  </si>
  <si>
    <t>IF Formula</t>
  </si>
  <si>
    <t>BONUS2 (AND)</t>
  </si>
  <si>
    <t>BONUS (OR)</t>
  </si>
  <si>
    <t>STUDENT NAME</t>
  </si>
  <si>
    <t>MARKS</t>
  </si>
  <si>
    <t>GRADE</t>
  </si>
  <si>
    <t xml:space="preserve">MID </t>
  </si>
  <si>
    <t>MEEMbai -400099</t>
  </si>
  <si>
    <t>FIND</t>
  </si>
  <si>
    <t>LEFT_2.2</t>
  </si>
  <si>
    <t>TEXT TO COLUMN</t>
  </si>
  <si>
    <t xml:space="preserve">Mumbai </t>
  </si>
  <si>
    <t xml:space="preserve">Delhi </t>
  </si>
  <si>
    <t xml:space="preserve">Pune </t>
  </si>
  <si>
    <t xml:space="preserve">Chennai </t>
  </si>
  <si>
    <t xml:space="preserve">Alhabad </t>
  </si>
  <si>
    <t xml:space="preserve">Surat </t>
  </si>
  <si>
    <t xml:space="preserve">Ahmedabad </t>
  </si>
  <si>
    <t xml:space="preserve">Punji </t>
  </si>
  <si>
    <t xml:space="preserve">Bhopal </t>
  </si>
  <si>
    <t xml:space="preserve">Ranchi </t>
  </si>
  <si>
    <t xml:space="preserve">Amrutsar </t>
  </si>
  <si>
    <t xml:space="preserve">Kolkatta </t>
  </si>
  <si>
    <t>The above mentioned formula is exist on Data-&gt;text &amp; column</t>
  </si>
  <si>
    <t>Teacher</t>
  </si>
  <si>
    <t>Wahab</t>
  </si>
  <si>
    <t>Bilal</t>
  </si>
  <si>
    <t>Shehzad</t>
  </si>
  <si>
    <t>Qazi</t>
  </si>
  <si>
    <t>Wasim</t>
  </si>
  <si>
    <t>Again substitute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</si>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</sst>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&quot;Rs.&quot;\ #,##0.00"/>
    <numFmt numFmtId="167" formatCode="&quot;Rs.&quot;\ #,##0.00;[Red]&quot;Rs.&quot;\ \-#,##0.00"/>
    <numFmt numFmtId="170" formatCode="_([$PKR]\ * #,##0.00_);_([$PKR]\ * \(#,##0.00\);_([$PKR]\ * &quot;-&quot;??_);_(@_)"/>
  </numFmts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4"/>
      <color theme="1"/>
      <name val="Trebuchet MS"/>
      <family val="2"/>
      <scheme val="minor"/>
    </font>
    <font>
      <sz val="14"/>
      <color theme="0"/>
      <name val="Trebuchet MS"/>
      <family val="2"/>
      <scheme val="minor"/>
    </font>
    <font>
      <sz val="11"/>
      <name val="Impact"/>
      <family val="2"/>
    </font>
    <font>
      <sz val="10"/>
      <name val="Arial"/>
      <family val="2"/>
    </font>
    <font>
      <b/>
      <sz val="10"/>
      <color theme="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1"/>
      <name val="Arial Black"/>
      <family val="2"/>
    </font>
    <font>
      <sz val="11"/>
      <color theme="0"/>
      <name val="Arial Black"/>
      <family val="2"/>
    </font>
    <font>
      <b/>
      <sz val="11"/>
      <color rgb="FF002060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1"/>
      <color rgb="FF006100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0" fontId="15" fillId="11" borderId="0" applyNumberFormat="0" applyBorder="0" applyAlignment="0" applyProtection="0"/>
    <xf numFmtId="0" fontId="16" fillId="12" borderId="11" applyNumberFormat="0" applyAlignment="0" applyProtection="0"/>
    <xf numFmtId="0" fontId="2" fillId="13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 vertical="center"/>
    </xf>
    <xf numFmtId="165" fontId="5" fillId="5" borderId="1" xfId="3" applyNumberFormat="1" applyFont="1" applyFill="1" applyBorder="1" applyAlignment="1">
      <alignment horizontal="center" vertical="center"/>
    </xf>
    <xf numFmtId="1" fontId="1" fillId="0" borderId="1" xfId="2" applyNumberFormat="1" applyFont="1" applyBorder="1" applyAlignment="1">
      <alignment horizontal="center"/>
    </xf>
    <xf numFmtId="165" fontId="0" fillId="0" borderId="1" xfId="3" applyNumberFormat="1" applyFont="1" applyBorder="1"/>
    <xf numFmtId="0" fontId="1" fillId="0" borderId="1" xfId="2" applyFont="1" applyBorder="1"/>
    <xf numFmtId="0" fontId="1" fillId="0" borderId="0" xfId="2"/>
    <xf numFmtId="164" fontId="8" fillId="0" borderId="1" xfId="1" applyNumberFormat="1" applyFont="1" applyBorder="1"/>
    <xf numFmtId="164" fontId="8" fillId="0" borderId="1" xfId="1" applyFont="1" applyBorder="1"/>
    <xf numFmtId="0" fontId="7" fillId="3" borderId="1" xfId="0" applyFont="1" applyFill="1" applyBorder="1"/>
    <xf numFmtId="164" fontId="7" fillId="3" borderId="1" xfId="1" applyFont="1" applyFill="1" applyBorder="1"/>
    <xf numFmtId="14" fontId="0" fillId="0" borderId="1" xfId="0" applyNumberFormat="1" applyBorder="1"/>
    <xf numFmtId="0" fontId="0" fillId="6" borderId="1" xfId="0" applyFill="1" applyBorder="1"/>
    <xf numFmtId="0" fontId="9" fillId="6" borderId="2" xfId="0" applyFont="1" applyFill="1" applyBorder="1"/>
    <xf numFmtId="0" fontId="0" fillId="0" borderId="4" xfId="0" applyFont="1" applyBorder="1"/>
    <xf numFmtId="2" fontId="0" fillId="0" borderId="0" xfId="0" applyNumberFormat="1" applyBorder="1"/>
    <xf numFmtId="2" fontId="0" fillId="0" borderId="0" xfId="0" applyNumberFormat="1"/>
    <xf numFmtId="2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  <xf numFmtId="9" fontId="0" fillId="0" borderId="1" xfId="0" applyNumberFormat="1" applyBorder="1"/>
    <xf numFmtId="0" fontId="0" fillId="0" borderId="8" xfId="0" applyBorder="1"/>
    <xf numFmtId="0" fontId="9" fillId="0" borderId="0" xfId="0" applyFont="1"/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9" xfId="0" applyBorder="1"/>
    <xf numFmtId="2" fontId="9" fillId="0" borderId="1" xfId="0" applyNumberFormat="1" applyFont="1" applyBorder="1"/>
    <xf numFmtId="166" fontId="0" fillId="0" borderId="0" xfId="0" applyNumberFormat="1" applyBorder="1"/>
    <xf numFmtId="0" fontId="9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2" xfId="0" applyFill="1" applyBorder="1"/>
    <xf numFmtId="0" fontId="0" fillId="0" borderId="0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Fill="1" applyBorder="1"/>
    <xf numFmtId="0" fontId="9" fillId="6" borderId="0" xfId="0" applyFont="1" applyFill="1" applyBorder="1"/>
    <xf numFmtId="0" fontId="0" fillId="0" borderId="4" xfId="0" applyBorder="1"/>
    <xf numFmtId="0" fontId="9" fillId="6" borderId="8" xfId="0" applyFont="1" applyFill="1" applyBorder="1"/>
    <xf numFmtId="0" fontId="0" fillId="6" borderId="13" xfId="0" applyFill="1" applyBorder="1"/>
    <xf numFmtId="0" fontId="0" fillId="6" borderId="9" xfId="0" applyFill="1" applyBorder="1"/>
    <xf numFmtId="0" fontId="0" fillId="0" borderId="0" xfId="0" applyAlignment="1"/>
    <xf numFmtId="0" fontId="17" fillId="0" borderId="0" xfId="0" applyFont="1"/>
    <xf numFmtId="0" fontId="0" fillId="16" borderId="0" xfId="0" applyFill="1" applyAlignment="1">
      <alignment horizontal="center"/>
    </xf>
    <xf numFmtId="0" fontId="0" fillId="16" borderId="0" xfId="0" applyFill="1"/>
    <xf numFmtId="0" fontId="0" fillId="0" borderId="2" xfId="0" applyFill="1" applyBorder="1"/>
    <xf numFmtId="0" fontId="15" fillId="11" borderId="0" xfId="4" applyAlignment="1">
      <alignment horizontal="center"/>
    </xf>
    <xf numFmtId="0" fontId="2" fillId="9" borderId="10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1" xfId="0" applyFill="1" applyBorder="1"/>
    <xf numFmtId="0" fontId="0" fillId="15" borderId="12" xfId="0" applyFill="1" applyBorder="1"/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5" fillId="11" borderId="0" xfId="4" applyBorder="1" applyAlignment="1">
      <alignment horizontal="center"/>
    </xf>
    <xf numFmtId="0" fontId="15" fillId="11" borderId="0" xfId="4" applyAlignment="1">
      <alignment horizontal="center"/>
    </xf>
    <xf numFmtId="0" fontId="2" fillId="13" borderId="0" xfId="6" applyAlignment="1">
      <alignment horizontal="center"/>
    </xf>
    <xf numFmtId="0" fontId="16" fillId="12" borderId="11" xfId="5" applyAlignment="1">
      <alignment wrapText="1"/>
    </xf>
    <xf numFmtId="0" fontId="14" fillId="9" borderId="1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70" fontId="0" fillId="0" borderId="0" xfId="0" applyNumberFormat="1"/>
  </cellXfs>
  <cellStyles count="7">
    <cellStyle name="60% - Accent6" xfId="6" builtinId="52"/>
    <cellStyle name="Calculation" xfId="5" builtinId="22"/>
    <cellStyle name="Comma" xfId="1" builtinId="3"/>
    <cellStyle name="Comma 2" xfId="3"/>
    <cellStyle name="Good" xfId="4" builtinId="26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1051891</xdr:colOff>
      <xdr:row>3</xdr:row>
      <xdr:rowOff>99392</xdr:rowOff>
    </xdr:from>
    <xdr:to>
      <xdr:col>7</xdr:col>
      <xdr:colOff>455544</xdr:colOff>
      <xdr:row>13</xdr:row>
      <xdr:rowOff>66261</xdr:rowOff>
    </xdr:to>
    <xdr:grpSp>
      <xdr:nvGrpSpPr>
        <xdr:cNvPr id="2" name="Group 1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pSpPr/>
      </xdr:nvGrpSpPr>
      <xdr:grpSpPr>
        <a:xfrm>
          <a:off x="1891823" y="753153"/>
          <a:ext cx="6335255" cy="2045051"/>
          <a:chOff x="1794184" y="723444"/>
          <a:chExt cx="5151498" cy="1911283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CxnSpPr/>
        </xdr:nvCxnSpPr>
        <xdr:spPr>
          <a:xfrm flipV="1">
            <a:off x="2583317" y="1291517"/>
            <a:ext cx="2387391" cy="1656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CxnSpPr/>
        </xdr:nvCxnSpPr>
        <xdr:spPr>
          <a:xfrm>
            <a:off x="2568466" y="1707931"/>
            <a:ext cx="3225362" cy="580640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CxnSpPr/>
        </xdr:nvCxnSpPr>
        <xdr:spPr>
          <a:xfrm>
            <a:off x="1794184" y="723444"/>
            <a:ext cx="4662252" cy="1911283"/>
          </a:xfrm>
          <a:prstGeom prst="bentConnector3">
            <a:avLst>
              <a:gd name="adj1" fmla="val -1571"/>
            </a:avLst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CxnSpPr/>
        </xdr:nvCxnSpPr>
        <xdr:spPr>
          <a:xfrm>
            <a:off x="6945681" y="2180897"/>
            <a:ext cx="1" cy="40413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200" zoomScaleNormal="200" workbookViewId="0">
      <selection activeCell="E18" sqref="E18"/>
    </sheetView>
  </sheetViews>
  <sheetFormatPr defaultRowHeight="16.5" x14ac:dyDescent="0.3"/>
  <cols>
    <col min="1" max="1" width="8.75" style="4" customWidth="1"/>
    <col min="2" max="2" width="15.75" style="4" customWidth="1"/>
    <col min="3" max="4" width="10.375" style="4" customWidth="1"/>
    <col min="5" max="5" width="10.37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189</v>
      </c>
      <c r="E1" s="48" t="s">
        <v>198</v>
      </c>
    </row>
    <row r="2" spans="1:5" x14ac:dyDescent="0.3">
      <c r="A2" s="2">
        <v>1</v>
      </c>
      <c r="B2" s="2" t="s">
        <v>3</v>
      </c>
      <c r="C2" s="2">
        <v>29</v>
      </c>
      <c r="D2" s="2">
        <v>29</v>
      </c>
      <c r="E2" s="2">
        <f>FREQUENCY(C2:C21,D2:D10)</f>
        <v>3</v>
      </c>
    </row>
    <row r="3" spans="1:5" x14ac:dyDescent="0.3">
      <c r="A3" s="2">
        <v>2</v>
      </c>
      <c r="B3" s="2" t="s">
        <v>4</v>
      </c>
      <c r="C3" s="2">
        <v>20</v>
      </c>
      <c r="D3" s="2">
        <v>20</v>
      </c>
      <c r="E3" s="2">
        <f t="shared" ref="E3:E10" si="0">FREQUENCY(C3:C22,D3:D11)</f>
        <v>4</v>
      </c>
    </row>
    <row r="4" spans="1:5" x14ac:dyDescent="0.3">
      <c r="A4" s="2">
        <v>3</v>
      </c>
      <c r="B4" s="2" t="s">
        <v>5</v>
      </c>
      <c r="C4" s="2">
        <v>33</v>
      </c>
      <c r="D4" s="2">
        <v>33</v>
      </c>
      <c r="E4" s="2">
        <f t="shared" si="0"/>
        <v>4</v>
      </c>
    </row>
    <row r="5" spans="1:5" x14ac:dyDescent="0.3">
      <c r="A5" s="2">
        <v>4</v>
      </c>
      <c r="B5" s="2" t="s">
        <v>6</v>
      </c>
      <c r="C5" s="2">
        <v>20</v>
      </c>
      <c r="D5" s="2">
        <v>21</v>
      </c>
      <c r="E5" s="2">
        <f t="shared" si="0"/>
        <v>5</v>
      </c>
    </row>
    <row r="6" spans="1:5" x14ac:dyDescent="0.3">
      <c r="A6" s="2">
        <v>5</v>
      </c>
      <c r="B6" s="2" t="s">
        <v>7</v>
      </c>
      <c r="C6" s="2">
        <v>29</v>
      </c>
      <c r="D6" s="2">
        <v>34</v>
      </c>
      <c r="E6" s="2">
        <f t="shared" si="0"/>
        <v>4</v>
      </c>
    </row>
    <row r="7" spans="1:5" x14ac:dyDescent="0.3">
      <c r="A7" s="2">
        <v>6</v>
      </c>
      <c r="B7" s="2" t="s">
        <v>8</v>
      </c>
      <c r="C7" s="2">
        <v>33</v>
      </c>
      <c r="D7" s="2">
        <v>28</v>
      </c>
      <c r="E7" s="2">
        <f t="shared" si="0"/>
        <v>2</v>
      </c>
    </row>
    <row r="8" spans="1:5" x14ac:dyDescent="0.3">
      <c r="A8" s="2">
        <v>7</v>
      </c>
      <c r="B8" s="2" t="s">
        <v>9</v>
      </c>
      <c r="C8" s="2">
        <v>21</v>
      </c>
      <c r="D8" s="2">
        <v>27</v>
      </c>
      <c r="E8" s="2">
        <f t="shared" si="0"/>
        <v>3</v>
      </c>
    </row>
    <row r="9" spans="1:5" x14ac:dyDescent="0.3">
      <c r="A9" s="2">
        <v>8</v>
      </c>
      <c r="B9" s="2" t="s">
        <v>12</v>
      </c>
      <c r="C9" s="2">
        <v>29</v>
      </c>
      <c r="D9" s="2">
        <v>22</v>
      </c>
      <c r="E9" s="2">
        <f t="shared" si="0"/>
        <v>4</v>
      </c>
    </row>
    <row r="10" spans="1:5" x14ac:dyDescent="0.3">
      <c r="A10" s="2">
        <v>9</v>
      </c>
      <c r="B10" s="2" t="s">
        <v>10</v>
      </c>
      <c r="C10" s="2">
        <v>34</v>
      </c>
      <c r="D10" s="2">
        <v>23</v>
      </c>
      <c r="E10" s="2">
        <f t="shared" si="0"/>
        <v>6</v>
      </c>
    </row>
    <row r="11" spans="1:5" x14ac:dyDescent="0.3">
      <c r="A11" s="2">
        <v>10</v>
      </c>
      <c r="B11" s="2" t="s">
        <v>13</v>
      </c>
      <c r="C11" s="2">
        <v>28</v>
      </c>
      <c r="D11"/>
      <c r="E11" s="2"/>
    </row>
    <row r="12" spans="1:5" x14ac:dyDescent="0.3">
      <c r="A12" s="2">
        <v>11</v>
      </c>
      <c r="B12" s="2" t="s">
        <v>14</v>
      </c>
      <c r="C12" s="2">
        <v>20</v>
      </c>
      <c r="D12"/>
      <c r="E12" s="2"/>
    </row>
    <row r="13" spans="1:5" x14ac:dyDescent="0.3">
      <c r="A13" s="2">
        <v>12</v>
      </c>
      <c r="B13" s="2" t="s">
        <v>15</v>
      </c>
      <c r="C13" s="2">
        <v>27</v>
      </c>
      <c r="D13"/>
      <c r="E13" s="2"/>
    </row>
    <row r="14" spans="1:5" x14ac:dyDescent="0.3">
      <c r="A14" s="2">
        <v>13</v>
      </c>
      <c r="B14" s="2" t="s">
        <v>16</v>
      </c>
      <c r="C14" s="2">
        <v>21</v>
      </c>
      <c r="D14"/>
      <c r="E14" s="2"/>
    </row>
    <row r="15" spans="1:5" x14ac:dyDescent="0.3">
      <c r="A15" s="2">
        <v>14</v>
      </c>
      <c r="B15" s="2" t="s">
        <v>17</v>
      </c>
      <c r="C15" s="2">
        <v>28</v>
      </c>
      <c r="D15"/>
      <c r="E15" s="2"/>
    </row>
    <row r="16" spans="1:5" x14ac:dyDescent="0.3">
      <c r="A16" s="2">
        <v>15</v>
      </c>
      <c r="B16" s="2" t="s">
        <v>18</v>
      </c>
      <c r="C16" s="2">
        <v>27</v>
      </c>
      <c r="D16"/>
      <c r="E16" s="2"/>
    </row>
    <row r="17" spans="1:5" x14ac:dyDescent="0.3">
      <c r="A17" s="2">
        <v>16</v>
      </c>
      <c r="B17" s="2" t="s">
        <v>19</v>
      </c>
      <c r="C17" s="2">
        <v>20</v>
      </c>
      <c r="D17"/>
      <c r="E17" s="2"/>
    </row>
    <row r="18" spans="1:5" x14ac:dyDescent="0.3">
      <c r="A18" s="2">
        <v>17</v>
      </c>
      <c r="B18" s="2" t="s">
        <v>21</v>
      </c>
      <c r="C18" s="2">
        <v>22</v>
      </c>
      <c r="D18"/>
      <c r="E18" s="2"/>
    </row>
    <row r="19" spans="1:5" x14ac:dyDescent="0.3">
      <c r="A19" s="2">
        <v>18</v>
      </c>
      <c r="B19" s="2" t="s">
        <v>20</v>
      </c>
      <c r="C19" s="2">
        <v>23</v>
      </c>
      <c r="D19"/>
      <c r="E19" s="2"/>
    </row>
    <row r="20" spans="1:5" x14ac:dyDescent="0.3">
      <c r="A20" s="2">
        <v>19</v>
      </c>
      <c r="B20" s="2" t="s">
        <v>22</v>
      </c>
      <c r="C20" s="2">
        <v>27</v>
      </c>
      <c r="D20"/>
      <c r="E20" s="2"/>
    </row>
    <row r="21" spans="1:5" x14ac:dyDescent="0.3">
      <c r="A21" s="2">
        <v>20</v>
      </c>
      <c r="B21" s="2" t="s">
        <v>11</v>
      </c>
      <c r="C21" s="2">
        <v>23</v>
      </c>
      <c r="D21"/>
      <c r="E21" s="2"/>
    </row>
  </sheetData>
  <pageMargins left="0.7" right="0.7" top="0.75" bottom="0.75" header="0.3" footer="0.3"/>
  <pageSetup paperSize="9" orientation="portrait" verticalDpi="0" r:id="rId1"/>
  <ignoredErrors>
    <ignoredError sqref="E3:E1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5"/>
  <sheetViews>
    <sheetView topLeftCell="B2" zoomScale="200" zoomScaleNormal="200" workbookViewId="0">
      <selection activeCell="K12" sqref="K12"/>
    </sheetView>
  </sheetViews>
  <sheetFormatPr defaultRowHeight="16.5" x14ac:dyDescent="0.3"/>
  <cols>
    <col min="1" max="1" width="9.125" bestFit="1" customWidth="1"/>
    <col min="2" max="2" width="12.25" bestFit="1" customWidth="1"/>
    <col min="3" max="21" width="2.625" customWidth="1"/>
    <col min="23" max="23" width="9.25" customWidth="1"/>
  </cols>
  <sheetData>
    <row r="1" spans="3:24" ht="17.25" thickBot="1" x14ac:dyDescent="0.35"/>
    <row r="2" spans="3:24" ht="17.25" thickBot="1" x14ac:dyDescent="0.35">
      <c r="C2" s="73" t="s">
        <v>103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3:24" x14ac:dyDescent="0.3">
      <c r="C3" s="27" t="s">
        <v>108</v>
      </c>
      <c r="D3" s="27" t="s">
        <v>108</v>
      </c>
      <c r="E3" s="27" t="s">
        <v>108</v>
      </c>
      <c r="F3" s="27" t="s">
        <v>108</v>
      </c>
      <c r="G3" s="27" t="s">
        <v>108</v>
      </c>
      <c r="H3" s="27" t="s">
        <v>108</v>
      </c>
      <c r="I3" s="27" t="s">
        <v>108</v>
      </c>
      <c r="J3" s="27" t="s">
        <v>108</v>
      </c>
      <c r="K3" s="27" t="s">
        <v>108</v>
      </c>
      <c r="L3" s="27" t="s">
        <v>108</v>
      </c>
      <c r="M3" s="27" t="s">
        <v>108</v>
      </c>
      <c r="N3" s="27" t="s">
        <v>108</v>
      </c>
      <c r="O3" s="27" t="s">
        <v>108</v>
      </c>
      <c r="P3" s="27" t="s">
        <v>108</v>
      </c>
      <c r="Q3" s="27" t="s">
        <v>108</v>
      </c>
      <c r="R3" s="27" t="s">
        <v>108</v>
      </c>
      <c r="S3" s="27" t="s">
        <v>108</v>
      </c>
      <c r="T3" s="27" t="s">
        <v>108</v>
      </c>
      <c r="U3" s="27" t="s">
        <v>108</v>
      </c>
      <c r="W3" t="s">
        <v>104</v>
      </c>
      <c r="X3">
        <f>COUNTA(C3:U15)</f>
        <v>141</v>
      </c>
    </row>
    <row r="4" spans="3:24" x14ac:dyDescent="0.3">
      <c r="C4" s="2" t="s">
        <v>109</v>
      </c>
      <c r="D4" s="2" t="s">
        <v>109</v>
      </c>
      <c r="E4" s="2" t="s">
        <v>109</v>
      </c>
      <c r="F4" s="2" t="s">
        <v>109</v>
      </c>
      <c r="G4" s="2"/>
      <c r="H4" s="2"/>
      <c r="I4" s="2"/>
      <c r="J4" s="2"/>
      <c r="K4" s="2" t="s">
        <v>109</v>
      </c>
      <c r="L4" s="2" t="s">
        <v>109</v>
      </c>
      <c r="M4" s="2" t="s">
        <v>109</v>
      </c>
      <c r="N4" s="2"/>
      <c r="O4" s="2"/>
      <c r="P4" s="2"/>
      <c r="Q4" s="2"/>
      <c r="R4" s="2"/>
      <c r="S4" s="2" t="s">
        <v>109</v>
      </c>
      <c r="T4" s="2" t="s">
        <v>109</v>
      </c>
      <c r="U4" s="2" t="s">
        <v>109</v>
      </c>
      <c r="W4" t="s">
        <v>105</v>
      </c>
      <c r="X4">
        <f>COUNTBLANK(C3:U15)</f>
        <v>106</v>
      </c>
    </row>
    <row r="5" spans="3:24" x14ac:dyDescent="0.3">
      <c r="C5" s="2" t="s">
        <v>108</v>
      </c>
      <c r="D5" s="2" t="s">
        <v>108</v>
      </c>
      <c r="E5" s="2" t="s">
        <v>108</v>
      </c>
      <c r="F5" s="2" t="s">
        <v>108</v>
      </c>
      <c r="G5" s="2"/>
      <c r="H5" s="2"/>
      <c r="I5" s="2"/>
      <c r="J5" s="2"/>
      <c r="K5" s="2" t="s">
        <v>108</v>
      </c>
      <c r="L5" s="2" t="s">
        <v>108</v>
      </c>
      <c r="M5" s="2" t="s">
        <v>108</v>
      </c>
      <c r="N5" s="2"/>
      <c r="O5" s="2" t="s">
        <v>109</v>
      </c>
      <c r="P5" s="2"/>
      <c r="Q5" s="2"/>
      <c r="R5" s="2"/>
      <c r="S5" s="2" t="s">
        <v>108</v>
      </c>
      <c r="T5" s="2" t="s">
        <v>108</v>
      </c>
      <c r="U5" s="2" t="s">
        <v>108</v>
      </c>
    </row>
    <row r="6" spans="3:24" x14ac:dyDescent="0.3">
      <c r="C6" s="2" t="s">
        <v>109</v>
      </c>
      <c r="D6" s="2" t="s">
        <v>109</v>
      </c>
      <c r="E6" s="2" t="s">
        <v>109</v>
      </c>
      <c r="F6" s="2" t="s">
        <v>109</v>
      </c>
      <c r="G6" s="2"/>
      <c r="H6" s="2"/>
      <c r="I6" s="2"/>
      <c r="J6" s="2"/>
      <c r="K6" s="2" t="s">
        <v>109</v>
      </c>
      <c r="L6" s="2" t="s">
        <v>109</v>
      </c>
      <c r="M6" s="2" t="s">
        <v>109</v>
      </c>
      <c r="N6" s="2"/>
      <c r="O6" s="2" t="s">
        <v>108</v>
      </c>
      <c r="P6" s="2"/>
      <c r="Q6" s="2" t="s">
        <v>109</v>
      </c>
      <c r="R6" s="2"/>
      <c r="S6" s="2"/>
      <c r="T6" s="2" t="s">
        <v>109</v>
      </c>
      <c r="U6" s="2" t="s">
        <v>109</v>
      </c>
      <c r="W6" t="s">
        <v>106</v>
      </c>
      <c r="X6">
        <f>COUNTIF(C3:U15,"M")</f>
        <v>56</v>
      </c>
    </row>
    <row r="7" spans="3:24" x14ac:dyDescent="0.3">
      <c r="C7" s="2" t="s">
        <v>108</v>
      </c>
      <c r="D7" s="2" t="s">
        <v>108</v>
      </c>
      <c r="E7" s="2" t="s">
        <v>108</v>
      </c>
      <c r="F7" s="2" t="s">
        <v>108</v>
      </c>
      <c r="G7" s="2"/>
      <c r="H7" s="2"/>
      <c r="I7" s="2"/>
      <c r="J7" s="2"/>
      <c r="K7" s="2" t="s">
        <v>108</v>
      </c>
      <c r="L7" s="2"/>
      <c r="M7" s="2"/>
      <c r="N7" s="2"/>
      <c r="O7" s="2"/>
      <c r="P7" s="2"/>
      <c r="Q7" s="2" t="s">
        <v>108</v>
      </c>
      <c r="R7" s="2"/>
      <c r="S7" s="2"/>
      <c r="T7" s="2" t="s">
        <v>108</v>
      </c>
      <c r="U7" s="2" t="s">
        <v>108</v>
      </c>
      <c r="W7" t="s">
        <v>107</v>
      </c>
      <c r="X7">
        <f>COUNTIF(C3:U15,"F")</f>
        <v>85</v>
      </c>
    </row>
    <row r="8" spans="3:24" x14ac:dyDescent="0.3">
      <c r="C8" s="2" t="s">
        <v>108</v>
      </c>
      <c r="D8" s="2" t="s">
        <v>108</v>
      </c>
      <c r="E8" s="2" t="s">
        <v>108</v>
      </c>
      <c r="F8" s="2" t="s">
        <v>108</v>
      </c>
      <c r="G8" s="2" t="s">
        <v>108</v>
      </c>
      <c r="H8" s="2" t="s">
        <v>108</v>
      </c>
      <c r="I8" s="2" t="s">
        <v>108</v>
      </c>
      <c r="J8" s="2" t="s">
        <v>108</v>
      </c>
      <c r="K8" s="2" t="s">
        <v>108</v>
      </c>
      <c r="L8" s="2"/>
      <c r="M8" s="2"/>
      <c r="N8" s="2"/>
      <c r="O8" s="2"/>
      <c r="P8" s="2" t="s">
        <v>108</v>
      </c>
      <c r="Q8" s="2" t="s">
        <v>108</v>
      </c>
      <c r="R8" s="2"/>
      <c r="S8" s="2"/>
      <c r="T8" s="2" t="s">
        <v>108</v>
      </c>
      <c r="U8" s="2" t="s">
        <v>108</v>
      </c>
    </row>
    <row r="9" spans="3:24" x14ac:dyDescent="0.3">
      <c r="C9" s="2" t="s">
        <v>108</v>
      </c>
      <c r="D9" s="2" t="s">
        <v>108</v>
      </c>
      <c r="E9" s="2" t="s">
        <v>108</v>
      </c>
      <c r="F9" s="2" t="s">
        <v>108</v>
      </c>
      <c r="G9" s="2" t="s">
        <v>108</v>
      </c>
      <c r="H9" s="2" t="s">
        <v>108</v>
      </c>
      <c r="I9" s="2" t="s">
        <v>108</v>
      </c>
      <c r="J9" s="2" t="s">
        <v>108</v>
      </c>
      <c r="K9" s="2" t="s">
        <v>108</v>
      </c>
      <c r="L9" s="2"/>
      <c r="M9" s="2"/>
      <c r="N9" s="2"/>
      <c r="O9" s="2"/>
      <c r="P9" s="2" t="s">
        <v>108</v>
      </c>
      <c r="Q9" s="2" t="s">
        <v>108</v>
      </c>
      <c r="R9" s="2"/>
      <c r="S9" s="2"/>
      <c r="T9" s="2" t="s">
        <v>108</v>
      </c>
      <c r="U9" s="2" t="s">
        <v>108</v>
      </c>
    </row>
    <row r="10" spans="3:24" x14ac:dyDescent="0.3">
      <c r="C10" s="2" t="s">
        <v>108</v>
      </c>
      <c r="D10" s="2" t="s">
        <v>108</v>
      </c>
      <c r="E10" s="2" t="s">
        <v>108</v>
      </c>
      <c r="F10" s="2" t="s">
        <v>108</v>
      </c>
      <c r="G10" s="2" t="s">
        <v>108</v>
      </c>
      <c r="H10" s="2" t="s">
        <v>108</v>
      </c>
      <c r="I10" s="2" t="s">
        <v>108</v>
      </c>
      <c r="J10" s="2" t="s">
        <v>108</v>
      </c>
      <c r="K10" s="2" t="s">
        <v>108</v>
      </c>
      <c r="L10" s="2" t="s">
        <v>108</v>
      </c>
      <c r="M10" s="2" t="s">
        <v>108</v>
      </c>
      <c r="N10" s="2" t="s">
        <v>108</v>
      </c>
      <c r="O10" s="2" t="s">
        <v>108</v>
      </c>
      <c r="P10" s="2" t="s">
        <v>108</v>
      </c>
      <c r="Q10" s="2" t="s">
        <v>108</v>
      </c>
      <c r="R10" s="2"/>
      <c r="S10" s="2"/>
      <c r="T10" s="2" t="s">
        <v>108</v>
      </c>
      <c r="U10" s="2" t="s">
        <v>108</v>
      </c>
      <c r="W10" t="s">
        <v>104</v>
      </c>
      <c r="X10">
        <f>COUNTA(C3:U15)</f>
        <v>141</v>
      </c>
    </row>
    <row r="11" spans="3:24" x14ac:dyDescent="0.3">
      <c r="C11" s="2" t="s">
        <v>109</v>
      </c>
      <c r="D11" s="2" t="s">
        <v>109</v>
      </c>
      <c r="E11" s="2"/>
      <c r="F11" s="2"/>
      <c r="G11" s="2"/>
      <c r="H11" s="2"/>
      <c r="I11" s="2" t="s">
        <v>215</v>
      </c>
      <c r="J11" s="2"/>
      <c r="K11" s="2"/>
      <c r="L11" s="2" t="s">
        <v>109</v>
      </c>
      <c r="M11" s="2" t="s">
        <v>109</v>
      </c>
      <c r="N11" s="2" t="s">
        <v>109</v>
      </c>
      <c r="O11" s="2" t="s">
        <v>109</v>
      </c>
      <c r="P11" s="2" t="s">
        <v>109</v>
      </c>
      <c r="Q11" s="2" t="s">
        <v>109</v>
      </c>
      <c r="R11" s="2"/>
      <c r="S11" s="2"/>
      <c r="T11" s="2" t="s">
        <v>109</v>
      </c>
      <c r="U11" s="2" t="s">
        <v>109</v>
      </c>
      <c r="W11" t="s">
        <v>105</v>
      </c>
      <c r="X11">
        <f>COUNTBLANK(C3:U15)</f>
        <v>106</v>
      </c>
    </row>
    <row r="12" spans="3:24" x14ac:dyDescent="0.3">
      <c r="C12" s="2" t="s">
        <v>109</v>
      </c>
      <c r="D12" s="2" t="s">
        <v>109</v>
      </c>
      <c r="E12" s="2"/>
      <c r="F12" s="2"/>
      <c r="G12" s="2" t="s">
        <v>214</v>
      </c>
      <c r="H12" s="2"/>
      <c r="I12" s="2"/>
      <c r="J12" s="2"/>
      <c r="K12" s="2"/>
      <c r="L12" s="2" t="s">
        <v>109</v>
      </c>
      <c r="M12" s="2" t="s">
        <v>109</v>
      </c>
      <c r="N12" s="2"/>
      <c r="O12" s="2"/>
      <c r="P12" s="2"/>
      <c r="Q12" s="2"/>
      <c r="R12" s="2"/>
      <c r="S12" s="2"/>
      <c r="T12" s="2" t="s">
        <v>109</v>
      </c>
      <c r="U12" s="2" t="s">
        <v>109</v>
      </c>
    </row>
    <row r="13" spans="3:24" x14ac:dyDescent="0.3">
      <c r="C13" s="2" t="s">
        <v>109</v>
      </c>
      <c r="D13" s="2" t="s">
        <v>109</v>
      </c>
      <c r="E13" s="2"/>
      <c r="F13" s="2"/>
      <c r="G13" s="2" t="s">
        <v>214</v>
      </c>
      <c r="H13" s="2"/>
      <c r="I13" s="2"/>
      <c r="J13" s="2" t="s">
        <v>214</v>
      </c>
      <c r="K13" s="2"/>
      <c r="L13" s="2" t="s">
        <v>109</v>
      </c>
      <c r="M13" s="2" t="s">
        <v>109</v>
      </c>
      <c r="N13" s="2"/>
      <c r="O13" s="2"/>
      <c r="P13" s="2"/>
      <c r="Q13" s="2"/>
      <c r="R13" s="2"/>
      <c r="S13" s="2"/>
      <c r="T13" s="2" t="s">
        <v>109</v>
      </c>
      <c r="U13" s="2" t="s">
        <v>109</v>
      </c>
      <c r="W13" t="s">
        <v>106</v>
      </c>
      <c r="X13">
        <f>COUNTIF(C3:U15,"M")</f>
        <v>56</v>
      </c>
    </row>
    <row r="14" spans="3:24" x14ac:dyDescent="0.3">
      <c r="C14" s="2" t="s">
        <v>109</v>
      </c>
      <c r="D14" s="2" t="s">
        <v>109</v>
      </c>
      <c r="E14" s="2"/>
      <c r="F14" s="2"/>
      <c r="G14" s="2"/>
      <c r="H14" s="2" t="s">
        <v>214</v>
      </c>
      <c r="I14" s="2"/>
      <c r="J14" s="2"/>
      <c r="K14" s="2"/>
      <c r="L14" s="2" t="s">
        <v>109</v>
      </c>
      <c r="M14" s="2" t="s">
        <v>109</v>
      </c>
      <c r="N14" s="2"/>
      <c r="O14" s="2"/>
      <c r="P14" s="2"/>
      <c r="Q14" s="2"/>
      <c r="R14" s="2"/>
      <c r="S14" s="2"/>
      <c r="T14" s="2" t="s">
        <v>109</v>
      </c>
      <c r="U14" s="2" t="s">
        <v>109</v>
      </c>
      <c r="W14" t="s">
        <v>107</v>
      </c>
      <c r="X14">
        <f>COUNTIF(C3:U15,"F")</f>
        <v>85</v>
      </c>
    </row>
    <row r="15" spans="3:24" x14ac:dyDescent="0.3">
      <c r="C15" s="2" t="s">
        <v>109</v>
      </c>
      <c r="D15" s="2" t="s">
        <v>109</v>
      </c>
      <c r="E15" s="2"/>
      <c r="F15" s="2"/>
      <c r="G15" s="2"/>
      <c r="H15" s="2"/>
      <c r="I15" s="2"/>
      <c r="J15" s="2"/>
      <c r="K15" s="2"/>
      <c r="L15" s="2" t="s">
        <v>109</v>
      </c>
      <c r="M15" s="2" t="s">
        <v>109</v>
      </c>
      <c r="N15" s="2"/>
      <c r="O15" s="2"/>
      <c r="P15" s="2"/>
      <c r="Q15" s="2"/>
      <c r="R15" s="2"/>
      <c r="S15" s="2"/>
      <c r="T15" s="2" t="s">
        <v>109</v>
      </c>
      <c r="U15" s="2" t="s">
        <v>109</v>
      </c>
    </row>
  </sheetData>
  <mergeCells count="1">
    <mergeCell ref="C2:U2"/>
  </mergeCells>
  <conditionalFormatting sqref="C3:U15">
    <cfRule type="cellIs" dxfId="1" priority="1" operator="equal">
      <formula>"M"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200" zoomScaleNormal="200" workbookViewId="0">
      <selection activeCell="F17" sqref="F17"/>
    </sheetView>
  </sheetViews>
  <sheetFormatPr defaultRowHeight="16.5" x14ac:dyDescent="0.3"/>
  <cols>
    <col min="1" max="1" width="10.375" customWidth="1"/>
    <col min="2" max="2" width="13.875" customWidth="1"/>
    <col min="3" max="3" width="11.5" customWidth="1"/>
    <col min="6" max="6" width="10.25" customWidth="1"/>
  </cols>
  <sheetData>
    <row r="1" spans="1:10" x14ac:dyDescent="0.3">
      <c r="A1" s="25" t="s">
        <v>94</v>
      </c>
      <c r="B1" s="25" t="s">
        <v>95</v>
      </c>
      <c r="C1" s="25" t="s">
        <v>96</v>
      </c>
      <c r="D1" s="25" t="s">
        <v>75</v>
      </c>
      <c r="F1" s="26" t="s">
        <v>102</v>
      </c>
      <c r="G1" s="25" t="s">
        <v>100</v>
      </c>
      <c r="H1" s="25" t="s">
        <v>101</v>
      </c>
    </row>
    <row r="2" spans="1:10" x14ac:dyDescent="0.3">
      <c r="A2" s="24">
        <v>43739</v>
      </c>
      <c r="B2" s="1" t="s">
        <v>97</v>
      </c>
      <c r="C2" s="1" t="s">
        <v>100</v>
      </c>
      <c r="D2" s="1">
        <v>5000</v>
      </c>
      <c r="F2" s="1" t="s">
        <v>97</v>
      </c>
      <c r="G2" s="1">
        <f>AVERAGEIFS($D$2:$D$13,$B$2:$B$13,$F2,$C$2:$C$13,G$1)</f>
        <v>4750</v>
      </c>
      <c r="H2" s="1">
        <f>AVERAGEIFS($D$2:$D$13,$B$2:$B$13,$F2,$C$2:$C$13,H$1)</f>
        <v>2575</v>
      </c>
      <c r="J2" s="1">
        <f ca="1">AVERAGEIF(B:B,F2,$D$2:$D$13)</f>
        <v>5265</v>
      </c>
    </row>
    <row r="3" spans="1:10" x14ac:dyDescent="0.3">
      <c r="A3" s="24">
        <v>43740</v>
      </c>
      <c r="B3" s="1" t="s">
        <v>98</v>
      </c>
      <c r="C3" s="1" t="s">
        <v>101</v>
      </c>
      <c r="D3" s="1">
        <v>6000</v>
      </c>
      <c r="F3" s="1" t="s">
        <v>98</v>
      </c>
      <c r="G3" s="1">
        <f t="shared" ref="G3:H4" si="0">AVERAGEIFS($D$2:$D$13,$B$2:$B$13,$F3,$C$2:$C$13,G$1)</f>
        <v>6500</v>
      </c>
      <c r="H3" s="1">
        <f t="shared" si="0"/>
        <v>3700</v>
      </c>
      <c r="J3" s="1">
        <f ca="1">AVERAGEIF(B:B,F3,$D$2:$D$13)</f>
        <v>2775</v>
      </c>
    </row>
    <row r="4" spans="1:10" x14ac:dyDescent="0.3">
      <c r="A4" s="24">
        <v>43741</v>
      </c>
      <c r="B4" s="1" t="s">
        <v>97</v>
      </c>
      <c r="C4" s="1" t="s">
        <v>100</v>
      </c>
      <c r="D4" s="1">
        <v>4500</v>
      </c>
      <c r="F4" s="1" t="s">
        <v>190</v>
      </c>
      <c r="G4" s="1">
        <f t="shared" si="0"/>
        <v>2983.3333333333335</v>
      </c>
      <c r="H4" s="1">
        <f>IFERROR(AVERAGEIFS($D$2:$D$13,$B$2:$B$13,$F4,$C$2:$C$13,H$1),"")</f>
        <v>2560</v>
      </c>
      <c r="J4" s="1">
        <f ca="1">AVERAGEIF(B:B,F4,$D$2:$D$13)</f>
        <v>2200</v>
      </c>
    </row>
    <row r="5" spans="1:10" x14ac:dyDescent="0.3">
      <c r="A5" s="24">
        <v>43742</v>
      </c>
      <c r="B5" s="1" t="s">
        <v>98</v>
      </c>
      <c r="C5" s="1" t="s">
        <v>100</v>
      </c>
      <c r="D5" s="1">
        <v>6500</v>
      </c>
    </row>
    <row r="6" spans="1:10" x14ac:dyDescent="0.3">
      <c r="A6" s="24">
        <v>43743</v>
      </c>
      <c r="B6" s="1" t="s">
        <v>97</v>
      </c>
      <c r="C6" s="1" t="s">
        <v>101</v>
      </c>
      <c r="D6" s="1">
        <v>4500</v>
      </c>
    </row>
    <row r="7" spans="1:10" x14ac:dyDescent="0.3">
      <c r="A7" s="24">
        <v>43744</v>
      </c>
      <c r="B7" s="1" t="s">
        <v>99</v>
      </c>
      <c r="C7" s="1" t="s">
        <v>100</v>
      </c>
      <c r="D7" s="1">
        <v>6000</v>
      </c>
    </row>
    <row r="8" spans="1:10" x14ac:dyDescent="0.3">
      <c r="A8" s="24">
        <v>43745</v>
      </c>
      <c r="B8" s="1" t="s">
        <v>98</v>
      </c>
      <c r="C8" s="1" t="s">
        <v>101</v>
      </c>
      <c r="D8" s="1">
        <v>4500</v>
      </c>
      <c r="F8" s="26" t="s">
        <v>102</v>
      </c>
      <c r="G8" s="25" t="s">
        <v>100</v>
      </c>
      <c r="H8" s="25" t="s">
        <v>101</v>
      </c>
    </row>
    <row r="9" spans="1:10" x14ac:dyDescent="0.3">
      <c r="A9" s="24">
        <v>43746</v>
      </c>
      <c r="B9" s="1" t="s">
        <v>98</v>
      </c>
      <c r="C9" s="1" t="s">
        <v>101</v>
      </c>
      <c r="D9" s="1">
        <v>600</v>
      </c>
      <c r="F9" s="1" t="s">
        <v>97</v>
      </c>
      <c r="G9" s="1">
        <f>AVERAGEIF($B$2:$B$13,$F9,$D$2:$D$13)</f>
        <v>3662.5</v>
      </c>
      <c r="H9" s="1">
        <f>AVERAGEIFS($D$2:$D$13,$B$2:$B$13,$F9,$C$2:$C$13,$H$8)</f>
        <v>2575</v>
      </c>
    </row>
    <row r="10" spans="1:10" x14ac:dyDescent="0.3">
      <c r="A10" s="24">
        <v>43747</v>
      </c>
      <c r="B10" s="1" t="s">
        <v>99</v>
      </c>
      <c r="C10" s="1" t="s">
        <v>100</v>
      </c>
      <c r="D10" s="1">
        <v>1500</v>
      </c>
      <c r="F10" s="1" t="s">
        <v>98</v>
      </c>
      <c r="G10" s="1">
        <f t="shared" ref="G10:G11" si="1">AVERAGEIF($B$2:$B$13,$F10,$D$2:$D$13)</f>
        <v>4400</v>
      </c>
      <c r="H10" s="1">
        <f t="shared" ref="H10:H11" si="2">AVERAGEIFS($D$2:$D$13,$B$2:$B$13,$F10,$C$2:$C$13,$H$8)</f>
        <v>3700</v>
      </c>
    </row>
    <row r="11" spans="1:10" x14ac:dyDescent="0.3">
      <c r="A11" s="24">
        <v>43748</v>
      </c>
      <c r="B11" s="1" t="s">
        <v>99</v>
      </c>
      <c r="C11" s="1" t="s">
        <v>100</v>
      </c>
      <c r="D11" s="1">
        <v>1450</v>
      </c>
      <c r="F11" s="1" t="s">
        <v>190</v>
      </c>
      <c r="G11" s="1">
        <f t="shared" si="1"/>
        <v>2877.5</v>
      </c>
      <c r="H11" s="1">
        <f t="shared" si="2"/>
        <v>2560</v>
      </c>
    </row>
    <row r="12" spans="1:10" x14ac:dyDescent="0.3">
      <c r="A12" s="24">
        <v>43749</v>
      </c>
      <c r="B12" s="1" t="s">
        <v>97</v>
      </c>
      <c r="C12" s="1" t="s">
        <v>101</v>
      </c>
      <c r="D12" s="1">
        <v>650</v>
      </c>
    </row>
    <row r="13" spans="1:10" x14ac:dyDescent="0.3">
      <c r="A13" s="24">
        <v>43750</v>
      </c>
      <c r="B13" s="1" t="s">
        <v>99</v>
      </c>
      <c r="C13" s="1" t="s">
        <v>101</v>
      </c>
      <c r="D13" s="1">
        <v>2560</v>
      </c>
    </row>
    <row r="14" spans="1:10" x14ac:dyDescent="0.3">
      <c r="A14" s="24"/>
      <c r="B14" s="1"/>
      <c r="C14" s="1"/>
      <c r="D14" s="1"/>
    </row>
    <row r="16" spans="1:10" x14ac:dyDescent="0.3">
      <c r="G16">
        <f>SUMIF(B2:B13,F9,D2:D13)</f>
        <v>14650</v>
      </c>
    </row>
    <row r="17" spans="7:7" x14ac:dyDescent="0.3">
      <c r="G17">
        <f>COUNTIF(B2:B13,F9)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00" zoomScaleNormal="200" workbookViewId="0">
      <selection activeCell="G8" sqref="G8"/>
    </sheetView>
  </sheetViews>
  <sheetFormatPr defaultRowHeight="16.5" x14ac:dyDescent="0.3"/>
  <cols>
    <col min="1" max="1" width="10.375" customWidth="1"/>
    <col min="2" max="2" width="13.875" customWidth="1"/>
    <col min="3" max="3" width="11.5" customWidth="1"/>
  </cols>
  <sheetData>
    <row r="1" spans="1:8" x14ac:dyDescent="0.3">
      <c r="A1" s="25" t="s">
        <v>94</v>
      </c>
      <c r="B1" s="25" t="s">
        <v>95</v>
      </c>
      <c r="C1" s="25" t="s">
        <v>96</v>
      </c>
      <c r="D1" s="25" t="s">
        <v>75</v>
      </c>
    </row>
    <row r="2" spans="1:8" x14ac:dyDescent="0.3">
      <c r="A2" s="24">
        <v>43740</v>
      </c>
      <c r="B2" s="1" t="s">
        <v>98</v>
      </c>
      <c r="C2" s="1" t="s">
        <v>101</v>
      </c>
      <c r="D2" s="1">
        <v>6000</v>
      </c>
      <c r="F2">
        <f>SUBTOTAL(4,D2:D13)</f>
        <v>6500</v>
      </c>
    </row>
    <row r="3" spans="1:8" x14ac:dyDescent="0.3">
      <c r="A3" s="24">
        <v>43742</v>
      </c>
      <c r="B3" s="1" t="s">
        <v>98</v>
      </c>
      <c r="C3" s="1" t="s">
        <v>100</v>
      </c>
      <c r="D3" s="1">
        <v>6500</v>
      </c>
    </row>
    <row r="4" spans="1:8" x14ac:dyDescent="0.3">
      <c r="A4" s="24">
        <v>43745</v>
      </c>
      <c r="B4" s="1" t="s">
        <v>98</v>
      </c>
      <c r="C4" s="1" t="s">
        <v>101</v>
      </c>
      <c r="D4" s="1">
        <v>4500</v>
      </c>
    </row>
    <row r="5" spans="1:8" x14ac:dyDescent="0.3">
      <c r="A5" s="24">
        <v>43746</v>
      </c>
      <c r="B5" s="1" t="s">
        <v>98</v>
      </c>
      <c r="C5" s="1" t="s">
        <v>101</v>
      </c>
      <c r="D5" s="1">
        <v>600</v>
      </c>
    </row>
    <row r="6" spans="1:8" x14ac:dyDescent="0.3">
      <c r="A6" s="24">
        <v>43744</v>
      </c>
      <c r="B6" s="1" t="s">
        <v>99</v>
      </c>
      <c r="C6" s="1" t="s">
        <v>100</v>
      </c>
      <c r="D6" s="1">
        <v>6000</v>
      </c>
      <c r="G6" s="61"/>
      <c r="H6" s="61"/>
    </row>
    <row r="7" spans="1:8" x14ac:dyDescent="0.3">
      <c r="A7" s="24">
        <v>43747</v>
      </c>
      <c r="B7" s="1" t="s">
        <v>99</v>
      </c>
      <c r="C7" s="1" t="s">
        <v>100</v>
      </c>
      <c r="D7" s="1">
        <v>1500</v>
      </c>
    </row>
    <row r="8" spans="1:8" x14ac:dyDescent="0.3">
      <c r="A8" s="24">
        <v>43748</v>
      </c>
      <c r="B8" s="1" t="s">
        <v>99</v>
      </c>
      <c r="C8" s="1" t="s">
        <v>100</v>
      </c>
      <c r="D8" s="1">
        <v>1450</v>
      </c>
    </row>
    <row r="9" spans="1:8" x14ac:dyDescent="0.3">
      <c r="A9" s="24">
        <v>43750</v>
      </c>
      <c r="B9" s="1" t="s">
        <v>99</v>
      </c>
      <c r="C9" s="1" t="s">
        <v>100</v>
      </c>
      <c r="D9" s="1">
        <v>2560</v>
      </c>
    </row>
    <row r="10" spans="1:8" x14ac:dyDescent="0.3">
      <c r="A10" s="24">
        <v>43739</v>
      </c>
      <c r="B10" s="1" t="s">
        <v>97</v>
      </c>
      <c r="C10" s="1" t="s">
        <v>100</v>
      </c>
      <c r="D10" s="1">
        <v>5000</v>
      </c>
    </row>
    <row r="11" spans="1:8" x14ac:dyDescent="0.3">
      <c r="A11" s="24">
        <v>43741</v>
      </c>
      <c r="B11" s="1" t="s">
        <v>97</v>
      </c>
      <c r="C11" s="1" t="s">
        <v>100</v>
      </c>
      <c r="D11" s="1">
        <v>4500</v>
      </c>
    </row>
    <row r="12" spans="1:8" x14ac:dyDescent="0.3">
      <c r="A12" s="24">
        <v>43743</v>
      </c>
      <c r="B12" s="1" t="s">
        <v>97</v>
      </c>
      <c r="C12" s="1" t="s">
        <v>101</v>
      </c>
      <c r="D12" s="1">
        <v>4500</v>
      </c>
    </row>
    <row r="13" spans="1:8" x14ac:dyDescent="0.3">
      <c r="A13" s="24">
        <v>43749</v>
      </c>
      <c r="B13" s="1" t="s">
        <v>97</v>
      </c>
      <c r="C13" s="1" t="s">
        <v>101</v>
      </c>
      <c r="D13" s="1">
        <v>650</v>
      </c>
    </row>
  </sheetData>
  <sortState ref="A2:D13">
    <sortCondition ref="B2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200" zoomScaleNormal="200" workbookViewId="0">
      <selection activeCell="M11" sqref="M11"/>
    </sheetView>
  </sheetViews>
  <sheetFormatPr defaultRowHeight="16.5" x14ac:dyDescent="0.3"/>
  <cols>
    <col min="1" max="1" width="10.375" customWidth="1"/>
    <col min="2" max="2" width="11.5" customWidth="1"/>
  </cols>
  <sheetData>
    <row r="1" spans="1:15" x14ac:dyDescent="0.3">
      <c r="A1" s="25" t="s">
        <v>94</v>
      </c>
      <c r="B1" s="25" t="s">
        <v>192</v>
      </c>
      <c r="C1" s="25" t="s">
        <v>193</v>
      </c>
      <c r="D1" s="25" t="s">
        <v>110</v>
      </c>
      <c r="E1" s="49" t="s">
        <v>102</v>
      </c>
      <c r="F1" s="62"/>
      <c r="G1" s="64"/>
    </row>
    <row r="2" spans="1:15" x14ac:dyDescent="0.3">
      <c r="A2" s="24">
        <v>43739</v>
      </c>
      <c r="B2" s="1" t="s">
        <v>122</v>
      </c>
      <c r="C2" s="1">
        <v>500</v>
      </c>
      <c r="D2" s="1">
        <v>450</v>
      </c>
      <c r="E2">
        <f>C2*D2</f>
        <v>225000</v>
      </c>
      <c r="F2" s="62"/>
      <c r="G2" s="64">
        <f>PRODUCT(C2,D2)</f>
        <v>225000</v>
      </c>
    </row>
    <row r="3" spans="1:15" x14ac:dyDescent="0.3">
      <c r="A3" s="24">
        <v>43740</v>
      </c>
      <c r="B3" s="1" t="s">
        <v>111</v>
      </c>
      <c r="C3" s="1">
        <v>600</v>
      </c>
      <c r="D3" s="1">
        <v>950</v>
      </c>
      <c r="E3">
        <f t="shared" ref="E3:E13" si="0">C3*D3</f>
        <v>570000</v>
      </c>
      <c r="F3" s="62"/>
      <c r="G3" s="64">
        <f t="shared" ref="G3:G13" si="1">PRODUCT(C3,D3)</f>
        <v>570000</v>
      </c>
    </row>
    <row r="4" spans="1:15" x14ac:dyDescent="0.3">
      <c r="A4" s="24">
        <v>43741</v>
      </c>
      <c r="B4" s="1" t="s">
        <v>112</v>
      </c>
      <c r="C4" s="1">
        <v>450</v>
      </c>
      <c r="D4" s="1">
        <v>350</v>
      </c>
      <c r="E4">
        <f t="shared" si="0"/>
        <v>157500</v>
      </c>
      <c r="F4" s="62"/>
      <c r="G4" s="64">
        <f t="shared" si="1"/>
        <v>157500</v>
      </c>
      <c r="J4" s="77" t="s">
        <v>218</v>
      </c>
      <c r="K4" s="77"/>
      <c r="L4" s="77"/>
    </row>
    <row r="5" spans="1:15" x14ac:dyDescent="0.3">
      <c r="A5" s="24">
        <v>43742</v>
      </c>
      <c r="B5" s="1" t="s">
        <v>113</v>
      </c>
      <c r="C5" s="1">
        <v>350</v>
      </c>
      <c r="D5" s="1">
        <v>350</v>
      </c>
      <c r="E5">
        <f t="shared" si="0"/>
        <v>122500</v>
      </c>
      <c r="F5" s="62"/>
      <c r="G5" s="64">
        <f t="shared" si="1"/>
        <v>122500</v>
      </c>
      <c r="J5">
        <f>SUMPRODUCT(C2:C13,D2:D13)</f>
        <v>4942500</v>
      </c>
      <c r="L5" s="78" t="s">
        <v>219</v>
      </c>
      <c r="M5" s="78"/>
      <c r="N5" s="78"/>
      <c r="O5" s="78"/>
    </row>
    <row r="6" spans="1:15" x14ac:dyDescent="0.3">
      <c r="A6" s="24">
        <v>43743</v>
      </c>
      <c r="B6" s="1" t="s">
        <v>114</v>
      </c>
      <c r="C6" s="1">
        <v>650</v>
      </c>
      <c r="D6" s="1">
        <v>250</v>
      </c>
      <c r="E6">
        <f t="shared" si="0"/>
        <v>162500</v>
      </c>
      <c r="F6" s="62"/>
      <c r="G6" s="64">
        <f t="shared" si="1"/>
        <v>162500</v>
      </c>
    </row>
    <row r="7" spans="1:15" x14ac:dyDescent="0.3">
      <c r="A7" s="24">
        <v>43744</v>
      </c>
      <c r="B7" s="1" t="s">
        <v>115</v>
      </c>
      <c r="C7" s="1">
        <v>120</v>
      </c>
      <c r="D7" s="1">
        <v>850</v>
      </c>
      <c r="E7">
        <f t="shared" si="0"/>
        <v>102000</v>
      </c>
      <c r="F7" s="62"/>
      <c r="G7" s="64">
        <f t="shared" si="1"/>
        <v>102000</v>
      </c>
    </row>
    <row r="8" spans="1:15" x14ac:dyDescent="0.3">
      <c r="A8" s="24">
        <v>43745</v>
      </c>
      <c r="B8" s="1" t="s">
        <v>116</v>
      </c>
      <c r="C8" s="1">
        <v>250</v>
      </c>
      <c r="D8" s="1">
        <v>3500</v>
      </c>
      <c r="E8">
        <f t="shared" si="0"/>
        <v>875000</v>
      </c>
      <c r="F8" s="62"/>
      <c r="G8" s="64">
        <f t="shared" si="1"/>
        <v>875000</v>
      </c>
    </row>
    <row r="9" spans="1:15" x14ac:dyDescent="0.3">
      <c r="A9" s="24">
        <v>43746</v>
      </c>
      <c r="B9" s="1" t="s">
        <v>117</v>
      </c>
      <c r="C9" s="1">
        <v>150</v>
      </c>
      <c r="D9" s="1">
        <v>2500</v>
      </c>
      <c r="E9">
        <f t="shared" si="0"/>
        <v>375000</v>
      </c>
      <c r="F9" s="62"/>
      <c r="G9" s="64">
        <f t="shared" si="1"/>
        <v>375000</v>
      </c>
    </row>
    <row r="10" spans="1:15" x14ac:dyDescent="0.3">
      <c r="A10" s="24">
        <v>43747</v>
      </c>
      <c r="B10" s="1" t="s">
        <v>118</v>
      </c>
      <c r="C10" s="1">
        <v>250</v>
      </c>
      <c r="D10" s="1">
        <v>2500</v>
      </c>
      <c r="E10">
        <f t="shared" si="0"/>
        <v>625000</v>
      </c>
      <c r="F10" s="62"/>
      <c r="G10" s="64">
        <f t="shared" si="1"/>
        <v>625000</v>
      </c>
    </row>
    <row r="11" spans="1:15" x14ac:dyDescent="0.3">
      <c r="A11" s="24">
        <v>43748</v>
      </c>
      <c r="B11" s="1" t="s">
        <v>119</v>
      </c>
      <c r="C11" s="1">
        <v>360</v>
      </c>
      <c r="D11" s="1">
        <v>3500</v>
      </c>
      <c r="E11">
        <f t="shared" si="0"/>
        <v>1260000</v>
      </c>
      <c r="F11" s="62"/>
      <c r="G11" s="64">
        <f t="shared" si="1"/>
        <v>1260000</v>
      </c>
    </row>
    <row r="12" spans="1:15" x14ac:dyDescent="0.3">
      <c r="A12" s="24">
        <v>43749</v>
      </c>
      <c r="B12" s="1" t="s">
        <v>120</v>
      </c>
      <c r="C12" s="1">
        <v>120</v>
      </c>
      <c r="D12" s="1">
        <v>1800</v>
      </c>
      <c r="E12">
        <f t="shared" si="0"/>
        <v>216000</v>
      </c>
      <c r="F12" s="62"/>
      <c r="G12" s="64">
        <f t="shared" si="1"/>
        <v>216000</v>
      </c>
    </row>
    <row r="13" spans="1:15" x14ac:dyDescent="0.3">
      <c r="A13" s="24">
        <v>43750</v>
      </c>
      <c r="B13" s="1" t="s">
        <v>121</v>
      </c>
      <c r="C13" s="1">
        <v>210</v>
      </c>
      <c r="D13" s="1">
        <v>1200</v>
      </c>
      <c r="E13">
        <f t="shared" si="0"/>
        <v>252000</v>
      </c>
      <c r="F13" s="62"/>
      <c r="G13" s="64">
        <f t="shared" si="1"/>
        <v>252000</v>
      </c>
    </row>
    <row r="14" spans="1:15" x14ac:dyDescent="0.3">
      <c r="E14">
        <f>SUM(E2:E13)</f>
        <v>4942500</v>
      </c>
      <c r="F14" s="63" t="s">
        <v>216</v>
      </c>
      <c r="G14" s="64">
        <f>SUM(G2:G13)</f>
        <v>4942500</v>
      </c>
    </row>
    <row r="16" spans="1:15" x14ac:dyDescent="0.3">
      <c r="D16" s="76" t="s">
        <v>217</v>
      </c>
      <c r="E16" s="76"/>
      <c r="F16" s="76"/>
      <c r="G16" s="76"/>
    </row>
  </sheetData>
  <mergeCells count="3">
    <mergeCell ref="D16:G16"/>
    <mergeCell ref="J4:L4"/>
    <mergeCell ref="L5:O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00" zoomScaleNormal="200" workbookViewId="0">
      <selection activeCell="E2" sqref="E2"/>
    </sheetView>
  </sheetViews>
  <sheetFormatPr defaultRowHeight="16.5" x14ac:dyDescent="0.3"/>
  <cols>
    <col min="1" max="1" width="10.375" customWidth="1"/>
    <col min="2" max="2" width="14.25" customWidth="1"/>
    <col min="3" max="3" width="13.625" customWidth="1"/>
  </cols>
  <sheetData>
    <row r="1" spans="1:7" x14ac:dyDescent="0.3">
      <c r="A1" s="25" t="s">
        <v>94</v>
      </c>
      <c r="B1" s="25" t="s">
        <v>123</v>
      </c>
      <c r="C1" s="25" t="s">
        <v>124</v>
      </c>
      <c r="D1" s="25" t="s">
        <v>125</v>
      </c>
      <c r="E1" s="49" t="s">
        <v>221</v>
      </c>
      <c r="G1" s="50"/>
    </row>
    <row r="2" spans="1:7" x14ac:dyDescent="0.3">
      <c r="A2" s="24">
        <v>43739</v>
      </c>
      <c r="B2" s="2" t="s">
        <v>3</v>
      </c>
      <c r="C2" s="1">
        <v>15000</v>
      </c>
      <c r="D2" s="1" t="str">
        <f>IF(C2&lt;20000,"YES","NO")</f>
        <v>YES</v>
      </c>
      <c r="E2" t="str">
        <f>IF($C2&lt;=19000,"YES","NO")</f>
        <v>YES</v>
      </c>
    </row>
    <row r="3" spans="1:7" x14ac:dyDescent="0.3">
      <c r="A3" s="24">
        <v>43740</v>
      </c>
      <c r="B3" s="2" t="s">
        <v>4</v>
      </c>
      <c r="C3" s="1">
        <v>16000</v>
      </c>
      <c r="D3" s="1" t="str">
        <f t="shared" ref="D3:D13" si="0">IF(C3&lt;20000,"YES","NO")</f>
        <v>YES</v>
      </c>
      <c r="E3" t="str">
        <f t="shared" ref="E3:E13" si="1">IF($C3&lt;=19000,"YES","NO")</f>
        <v>YES</v>
      </c>
    </row>
    <row r="4" spans="1:7" x14ac:dyDescent="0.3">
      <c r="A4" s="24">
        <v>43741</v>
      </c>
      <c r="B4" s="2" t="s">
        <v>5</v>
      </c>
      <c r="C4" s="1">
        <v>18000</v>
      </c>
      <c r="D4" s="1" t="str">
        <f t="shared" si="0"/>
        <v>YES</v>
      </c>
      <c r="E4" t="str">
        <f t="shared" si="1"/>
        <v>YES</v>
      </c>
    </row>
    <row r="5" spans="1:7" x14ac:dyDescent="0.3">
      <c r="A5" s="24">
        <v>43742</v>
      </c>
      <c r="B5" s="2" t="s">
        <v>6</v>
      </c>
      <c r="C5" s="1">
        <v>19000</v>
      </c>
      <c r="D5" s="1" t="str">
        <f t="shared" si="0"/>
        <v>YES</v>
      </c>
      <c r="E5" t="str">
        <f t="shared" si="1"/>
        <v>YES</v>
      </c>
    </row>
    <row r="6" spans="1:7" x14ac:dyDescent="0.3">
      <c r="A6" s="24">
        <v>43743</v>
      </c>
      <c r="B6" s="2" t="s">
        <v>7</v>
      </c>
      <c r="C6" s="1">
        <v>25000</v>
      </c>
      <c r="D6" s="1" t="str">
        <f t="shared" si="0"/>
        <v>NO</v>
      </c>
      <c r="E6" t="str">
        <f t="shared" si="1"/>
        <v>NO</v>
      </c>
    </row>
    <row r="7" spans="1:7" x14ac:dyDescent="0.3">
      <c r="A7" s="24">
        <v>43744</v>
      </c>
      <c r="B7" s="2" t="s">
        <v>8</v>
      </c>
      <c r="C7" s="1">
        <v>22000</v>
      </c>
      <c r="D7" s="1" t="str">
        <f t="shared" si="0"/>
        <v>NO</v>
      </c>
      <c r="E7" t="str">
        <f t="shared" si="1"/>
        <v>NO</v>
      </c>
    </row>
    <row r="8" spans="1:7" x14ac:dyDescent="0.3">
      <c r="A8" s="24">
        <v>43745</v>
      </c>
      <c r="B8" s="2" t="s">
        <v>9</v>
      </c>
      <c r="C8" s="1">
        <v>15000</v>
      </c>
      <c r="D8" s="1" t="str">
        <f t="shared" si="0"/>
        <v>YES</v>
      </c>
      <c r="E8" t="str">
        <f t="shared" si="1"/>
        <v>YES</v>
      </c>
    </row>
    <row r="9" spans="1:7" x14ac:dyDescent="0.3">
      <c r="A9" s="24">
        <v>43746</v>
      </c>
      <c r="B9" s="2" t="s">
        <v>12</v>
      </c>
      <c r="C9" s="1">
        <v>35000</v>
      </c>
      <c r="D9" s="1" t="str">
        <f t="shared" si="0"/>
        <v>NO</v>
      </c>
      <c r="E9" t="str">
        <f t="shared" si="1"/>
        <v>NO</v>
      </c>
    </row>
    <row r="10" spans="1:7" x14ac:dyDescent="0.3">
      <c r="A10" s="24">
        <v>43747</v>
      </c>
      <c r="B10" s="2" t="s">
        <v>10</v>
      </c>
      <c r="C10" s="1">
        <v>15000</v>
      </c>
      <c r="D10" s="1" t="str">
        <f t="shared" si="0"/>
        <v>YES</v>
      </c>
      <c r="E10" t="str">
        <f t="shared" si="1"/>
        <v>YES</v>
      </c>
    </row>
    <row r="11" spans="1:7" x14ac:dyDescent="0.3">
      <c r="A11" s="24">
        <v>43748</v>
      </c>
      <c r="B11" s="2" t="s">
        <v>13</v>
      </c>
      <c r="C11" s="1">
        <v>35000</v>
      </c>
      <c r="D11" s="1" t="str">
        <f t="shared" si="0"/>
        <v>NO</v>
      </c>
      <c r="E11" t="str">
        <f t="shared" si="1"/>
        <v>NO</v>
      </c>
    </row>
    <row r="12" spans="1:7" x14ac:dyDescent="0.3">
      <c r="A12" s="24">
        <v>43749</v>
      </c>
      <c r="B12" s="2" t="s">
        <v>14</v>
      </c>
      <c r="C12" s="1">
        <v>18000</v>
      </c>
      <c r="D12" s="1" t="str">
        <f t="shared" si="0"/>
        <v>YES</v>
      </c>
      <c r="E12" t="str">
        <f t="shared" si="1"/>
        <v>YES</v>
      </c>
    </row>
    <row r="13" spans="1:7" x14ac:dyDescent="0.3">
      <c r="A13" s="24">
        <v>43750</v>
      </c>
      <c r="B13" s="2" t="s">
        <v>15</v>
      </c>
      <c r="C13" s="1">
        <v>21000</v>
      </c>
      <c r="D13" s="1" t="str">
        <f t="shared" si="0"/>
        <v>NO</v>
      </c>
      <c r="E13" t="str">
        <f t="shared" si="1"/>
        <v>NO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00" zoomScaleNormal="200" workbookViewId="0">
      <selection activeCell="G3" sqref="G3"/>
    </sheetView>
  </sheetViews>
  <sheetFormatPr defaultRowHeight="16.5" x14ac:dyDescent="0.3"/>
  <cols>
    <col min="1" max="1" width="10.375" customWidth="1"/>
    <col min="2" max="3" width="14.25" customWidth="1"/>
    <col min="4" max="6" width="13.625" customWidth="1"/>
  </cols>
  <sheetData>
    <row r="1" spans="1:7" x14ac:dyDescent="0.3">
      <c r="A1" s="25" t="s">
        <v>94</v>
      </c>
      <c r="B1" s="25" t="s">
        <v>123</v>
      </c>
      <c r="C1" s="25" t="s">
        <v>126</v>
      </c>
      <c r="D1" s="25" t="s">
        <v>124</v>
      </c>
      <c r="E1" s="25" t="s">
        <v>222</v>
      </c>
      <c r="F1" s="25" t="s">
        <v>223</v>
      </c>
      <c r="G1" s="25" t="s">
        <v>125</v>
      </c>
    </row>
    <row r="2" spans="1:7" x14ac:dyDescent="0.3">
      <c r="A2" s="24">
        <v>43739</v>
      </c>
      <c r="B2" s="2" t="s">
        <v>3</v>
      </c>
      <c r="C2" s="2" t="s">
        <v>127</v>
      </c>
      <c r="D2" s="1">
        <v>15000</v>
      </c>
      <c r="E2" s="1" t="str">
        <f>IF(AND(C2="MANAGER",D2&gt;=20000),"YES","NO")</f>
        <v>NO</v>
      </c>
      <c r="F2" s="1" t="str">
        <f>IF(OR(D2&gt;=20000,C2="manager"),"YES","NO")</f>
        <v>YES</v>
      </c>
      <c r="G2" s="1" t="str">
        <f>IF(AND(C2="MANAGER",D2&gt;=20000),"YES","NO")</f>
        <v>NO</v>
      </c>
    </row>
    <row r="3" spans="1:7" x14ac:dyDescent="0.3">
      <c r="A3" s="24">
        <v>43740</v>
      </c>
      <c r="B3" s="2" t="s">
        <v>4</v>
      </c>
      <c r="C3" s="2" t="s">
        <v>128</v>
      </c>
      <c r="D3" s="1">
        <v>16000</v>
      </c>
      <c r="E3" s="1" t="str">
        <f t="shared" ref="E3:E13" si="0">IF(AND(C3="MANAGER",D3&gt;=20000),"YES","NO")</f>
        <v>NO</v>
      </c>
      <c r="F3" s="1" t="str">
        <f t="shared" ref="F3:F13" si="1">IF(OR(D3&gt;=20000,C3="manager"),"YES","NO")</f>
        <v>NO</v>
      </c>
      <c r="G3" s="1" t="str">
        <f t="shared" ref="G3:G13" si="2">IF(AND(C3="MANAGER",D3&gt;=20000),"YES","NO")</f>
        <v>NO</v>
      </c>
    </row>
    <row r="4" spans="1:7" x14ac:dyDescent="0.3">
      <c r="A4" s="24">
        <v>43741</v>
      </c>
      <c r="B4" s="2" t="s">
        <v>5</v>
      </c>
      <c r="C4" s="2" t="s">
        <v>127</v>
      </c>
      <c r="D4" s="1">
        <v>18000</v>
      </c>
      <c r="E4" s="1" t="str">
        <f t="shared" si="0"/>
        <v>NO</v>
      </c>
      <c r="F4" s="1" t="str">
        <f t="shared" si="1"/>
        <v>YES</v>
      </c>
      <c r="G4" s="1" t="str">
        <f t="shared" si="2"/>
        <v>NO</v>
      </c>
    </row>
    <row r="5" spans="1:7" x14ac:dyDescent="0.3">
      <c r="A5" s="24">
        <v>43742</v>
      </c>
      <c r="B5" s="2" t="s">
        <v>6</v>
      </c>
      <c r="C5" s="2" t="s">
        <v>129</v>
      </c>
      <c r="D5" s="1">
        <v>19000</v>
      </c>
      <c r="E5" s="1" t="str">
        <f t="shared" si="0"/>
        <v>NO</v>
      </c>
      <c r="F5" s="1" t="str">
        <f t="shared" si="1"/>
        <v>NO</v>
      </c>
      <c r="G5" s="1" t="str">
        <f t="shared" si="2"/>
        <v>NO</v>
      </c>
    </row>
    <row r="6" spans="1:7" x14ac:dyDescent="0.3">
      <c r="A6" s="24">
        <v>43743</v>
      </c>
      <c r="B6" s="2" t="s">
        <v>7</v>
      </c>
      <c r="C6" s="2" t="s">
        <v>130</v>
      </c>
      <c r="D6" s="1">
        <v>25000</v>
      </c>
      <c r="E6" s="1" t="str">
        <f t="shared" si="0"/>
        <v>NO</v>
      </c>
      <c r="F6" s="1" t="str">
        <f t="shared" si="1"/>
        <v>YES</v>
      </c>
      <c r="G6" s="1" t="str">
        <f t="shared" si="2"/>
        <v>NO</v>
      </c>
    </row>
    <row r="7" spans="1:7" x14ac:dyDescent="0.3">
      <c r="A7" s="24">
        <v>43744</v>
      </c>
      <c r="B7" s="2" t="s">
        <v>8</v>
      </c>
      <c r="C7" s="2" t="s">
        <v>127</v>
      </c>
      <c r="D7" s="1">
        <v>22000</v>
      </c>
      <c r="E7" s="1" t="str">
        <f t="shared" si="0"/>
        <v>YES</v>
      </c>
      <c r="F7" s="1" t="str">
        <f t="shared" si="1"/>
        <v>YES</v>
      </c>
      <c r="G7" s="1" t="str">
        <f t="shared" si="2"/>
        <v>YES</v>
      </c>
    </row>
    <row r="8" spans="1:7" x14ac:dyDescent="0.3">
      <c r="A8" s="24">
        <v>43745</v>
      </c>
      <c r="B8" s="2" t="s">
        <v>9</v>
      </c>
      <c r="C8" s="2" t="s">
        <v>128</v>
      </c>
      <c r="D8" s="1">
        <v>15000</v>
      </c>
      <c r="E8" s="1" t="str">
        <f t="shared" si="0"/>
        <v>NO</v>
      </c>
      <c r="F8" s="1" t="str">
        <f t="shared" si="1"/>
        <v>NO</v>
      </c>
      <c r="G8" s="1" t="str">
        <f t="shared" si="2"/>
        <v>NO</v>
      </c>
    </row>
    <row r="9" spans="1:7" x14ac:dyDescent="0.3">
      <c r="A9" s="24">
        <v>43746</v>
      </c>
      <c r="B9" s="2" t="s">
        <v>12</v>
      </c>
      <c r="C9" s="2" t="s">
        <v>127</v>
      </c>
      <c r="D9" s="1">
        <v>35000</v>
      </c>
      <c r="E9" s="1" t="str">
        <f t="shared" si="0"/>
        <v>YES</v>
      </c>
      <c r="F9" s="1" t="str">
        <f t="shared" si="1"/>
        <v>YES</v>
      </c>
      <c r="G9" s="1" t="str">
        <f t="shared" si="2"/>
        <v>YES</v>
      </c>
    </row>
    <row r="10" spans="1:7" x14ac:dyDescent="0.3">
      <c r="A10" s="24">
        <v>43747</v>
      </c>
      <c r="B10" s="2" t="s">
        <v>10</v>
      </c>
      <c r="C10" s="2" t="s">
        <v>130</v>
      </c>
      <c r="D10" s="1">
        <v>15000</v>
      </c>
      <c r="E10" s="1" t="str">
        <f t="shared" si="0"/>
        <v>NO</v>
      </c>
      <c r="F10" s="1" t="str">
        <f t="shared" si="1"/>
        <v>NO</v>
      </c>
      <c r="G10" s="1" t="str">
        <f t="shared" si="2"/>
        <v>NO</v>
      </c>
    </row>
    <row r="11" spans="1:7" x14ac:dyDescent="0.3">
      <c r="A11" s="24">
        <v>43748</v>
      </c>
      <c r="B11" s="2" t="s">
        <v>13</v>
      </c>
      <c r="C11" s="2" t="s">
        <v>130</v>
      </c>
      <c r="D11" s="1">
        <v>35000</v>
      </c>
      <c r="E11" s="1" t="str">
        <f t="shared" si="0"/>
        <v>NO</v>
      </c>
      <c r="F11" s="1" t="str">
        <f t="shared" si="1"/>
        <v>YES</v>
      </c>
      <c r="G11" s="1" t="str">
        <f t="shared" si="2"/>
        <v>NO</v>
      </c>
    </row>
    <row r="12" spans="1:7" x14ac:dyDescent="0.3">
      <c r="A12" s="24">
        <v>43749</v>
      </c>
      <c r="B12" s="2" t="s">
        <v>14</v>
      </c>
      <c r="C12" s="2" t="s">
        <v>130</v>
      </c>
      <c r="D12" s="1">
        <v>18000</v>
      </c>
      <c r="E12" s="1" t="str">
        <f t="shared" si="0"/>
        <v>NO</v>
      </c>
      <c r="F12" s="1" t="str">
        <f t="shared" si="1"/>
        <v>NO</v>
      </c>
      <c r="G12" s="1" t="str">
        <f t="shared" si="2"/>
        <v>NO</v>
      </c>
    </row>
    <row r="13" spans="1:7" x14ac:dyDescent="0.3">
      <c r="A13" s="24">
        <v>43750</v>
      </c>
      <c r="B13" s="2" t="s">
        <v>15</v>
      </c>
      <c r="C13" s="2" t="s">
        <v>130</v>
      </c>
      <c r="D13" s="1">
        <v>21000</v>
      </c>
      <c r="E13" s="1" t="str">
        <f t="shared" si="0"/>
        <v>NO</v>
      </c>
      <c r="F13" s="1" t="str">
        <f t="shared" si="1"/>
        <v>YES</v>
      </c>
      <c r="G13" s="1" t="str">
        <f t="shared" si="2"/>
        <v>NO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75" zoomScaleNormal="175" workbookViewId="0">
      <selection activeCell="J15" sqref="J15"/>
    </sheetView>
  </sheetViews>
  <sheetFormatPr defaultRowHeight="16.5" x14ac:dyDescent="0.3"/>
  <cols>
    <col min="1" max="1" width="10.375" customWidth="1"/>
    <col min="2" max="3" width="14.25" customWidth="1"/>
    <col min="4" max="4" width="13.625" customWidth="1"/>
    <col min="7" max="7" width="14.75" bestFit="1" customWidth="1"/>
    <col min="8" max="8" width="11.25" customWidth="1"/>
    <col min="10" max="11" width="14.75" bestFit="1" customWidth="1"/>
  </cols>
  <sheetData>
    <row r="1" spans="1:9" x14ac:dyDescent="0.3">
      <c r="A1" s="25" t="s">
        <v>94</v>
      </c>
      <c r="B1" s="25" t="s">
        <v>123</v>
      </c>
      <c r="C1" s="25" t="s">
        <v>126</v>
      </c>
      <c r="D1" s="25" t="s">
        <v>124</v>
      </c>
      <c r="E1" s="25" t="s">
        <v>125</v>
      </c>
      <c r="F1" s="49" t="s">
        <v>220</v>
      </c>
      <c r="G1" s="65"/>
      <c r="H1" s="51" t="s">
        <v>127</v>
      </c>
      <c r="I1">
        <v>5000</v>
      </c>
    </row>
    <row r="2" spans="1:9" x14ac:dyDescent="0.3">
      <c r="A2" s="24">
        <v>43739</v>
      </c>
      <c r="B2" s="2" t="s">
        <v>3</v>
      </c>
      <c r="C2" s="2" t="s">
        <v>127</v>
      </c>
      <c r="D2" s="1">
        <v>15000</v>
      </c>
      <c r="E2" s="1">
        <f>IF(C2="MANAGER",5000,IF(C2="SUPERVISOR",3000,IF(C2="CLERK",2500,2000)))</f>
        <v>5000</v>
      </c>
      <c r="F2">
        <f>IF(C2="MANAGER",5000,IF(C2="SUPERVISOR",3000,IF(C2="PEON",2000,IF(C2="CLERK",2500))))</f>
        <v>5000</v>
      </c>
      <c r="G2" s="53"/>
    </row>
    <row r="3" spans="1:9" x14ac:dyDescent="0.3">
      <c r="A3" s="24">
        <v>43740</v>
      </c>
      <c r="B3" s="2" t="s">
        <v>4</v>
      </c>
      <c r="C3" s="2" t="s">
        <v>128</v>
      </c>
      <c r="D3" s="1">
        <v>16000</v>
      </c>
      <c r="E3" s="1">
        <f t="shared" ref="E3:E13" si="0">IF(C3="MANAGER",5000,IF(C3="SUPERVISOR",3000,IF(C3="CLERK",2500,2000)))</f>
        <v>3000</v>
      </c>
      <c r="F3">
        <f t="shared" ref="F3:F13" si="1">IF(C3="MANAGER",5000,IF(C3="SUPERVISOR",3000,IF(C3="PEON",2000,IF(C3="CLERK",2500))))</f>
        <v>3000</v>
      </c>
      <c r="G3" s="53"/>
      <c r="H3" t="s">
        <v>128</v>
      </c>
      <c r="I3">
        <v>3000</v>
      </c>
    </row>
    <row r="4" spans="1:9" x14ac:dyDescent="0.3">
      <c r="A4" s="24">
        <v>43741</v>
      </c>
      <c r="B4" s="2" t="s">
        <v>5</v>
      </c>
      <c r="C4" s="2" t="s">
        <v>127</v>
      </c>
      <c r="D4" s="1">
        <v>18000</v>
      </c>
      <c r="E4" s="1">
        <f t="shared" si="0"/>
        <v>5000</v>
      </c>
      <c r="F4">
        <f t="shared" si="1"/>
        <v>5000</v>
      </c>
      <c r="G4" s="53"/>
    </row>
    <row r="5" spans="1:9" x14ac:dyDescent="0.3">
      <c r="A5" s="24">
        <v>43742</v>
      </c>
      <c r="B5" s="2" t="s">
        <v>6</v>
      </c>
      <c r="C5" s="2" t="s">
        <v>129</v>
      </c>
      <c r="D5" s="1">
        <v>19000</v>
      </c>
      <c r="E5" s="1">
        <f t="shared" si="0"/>
        <v>2000</v>
      </c>
      <c r="F5">
        <f t="shared" si="1"/>
        <v>2000</v>
      </c>
      <c r="G5" s="53"/>
      <c r="H5" t="s">
        <v>130</v>
      </c>
      <c r="I5">
        <v>2500</v>
      </c>
    </row>
    <row r="6" spans="1:9" x14ac:dyDescent="0.3">
      <c r="A6" s="24">
        <v>43743</v>
      </c>
      <c r="B6" s="2" t="s">
        <v>7</v>
      </c>
      <c r="C6" s="2" t="s">
        <v>130</v>
      </c>
      <c r="D6" s="1">
        <v>25000</v>
      </c>
      <c r="E6" s="1">
        <f t="shared" si="0"/>
        <v>2500</v>
      </c>
      <c r="F6">
        <f t="shared" si="1"/>
        <v>2500</v>
      </c>
      <c r="G6" s="53"/>
    </row>
    <row r="7" spans="1:9" x14ac:dyDescent="0.3">
      <c r="A7" s="24">
        <v>43744</v>
      </c>
      <c r="B7" s="2" t="s">
        <v>8</v>
      </c>
      <c r="C7" s="2" t="s">
        <v>127</v>
      </c>
      <c r="D7" s="1">
        <v>22000</v>
      </c>
      <c r="E7" s="1">
        <f t="shared" si="0"/>
        <v>5000</v>
      </c>
      <c r="F7">
        <f t="shared" si="1"/>
        <v>5000</v>
      </c>
      <c r="G7" s="53"/>
      <c r="H7" t="s">
        <v>129</v>
      </c>
      <c r="I7">
        <v>2000</v>
      </c>
    </row>
    <row r="8" spans="1:9" x14ac:dyDescent="0.3">
      <c r="A8" s="24">
        <v>43745</v>
      </c>
      <c r="B8" s="2" t="s">
        <v>9</v>
      </c>
      <c r="C8" s="2" t="s">
        <v>128</v>
      </c>
      <c r="D8" s="1">
        <v>15000</v>
      </c>
      <c r="E8" s="1">
        <f t="shared" si="0"/>
        <v>3000</v>
      </c>
      <c r="F8">
        <f t="shared" si="1"/>
        <v>3000</v>
      </c>
      <c r="G8" s="53"/>
    </row>
    <row r="9" spans="1:9" x14ac:dyDescent="0.3">
      <c r="A9" s="24">
        <v>43746</v>
      </c>
      <c r="B9" s="2" t="s">
        <v>12</v>
      </c>
      <c r="C9" s="2" t="s">
        <v>127</v>
      </c>
      <c r="D9" s="1">
        <v>35000</v>
      </c>
      <c r="E9" s="1">
        <f t="shared" si="0"/>
        <v>5000</v>
      </c>
      <c r="F9">
        <f t="shared" si="1"/>
        <v>5000</v>
      </c>
    </row>
    <row r="10" spans="1:9" x14ac:dyDescent="0.3">
      <c r="A10" s="24">
        <v>43747</v>
      </c>
      <c r="B10" s="2" t="s">
        <v>10</v>
      </c>
      <c r="C10" s="2" t="s">
        <v>130</v>
      </c>
      <c r="D10" s="1">
        <v>15000</v>
      </c>
      <c r="E10" s="1">
        <f t="shared" si="0"/>
        <v>2500</v>
      </c>
      <c r="F10">
        <f t="shared" si="1"/>
        <v>2500</v>
      </c>
    </row>
    <row r="11" spans="1:9" x14ac:dyDescent="0.3">
      <c r="A11" s="24">
        <v>43748</v>
      </c>
      <c r="B11" s="2" t="s">
        <v>13</v>
      </c>
      <c r="C11" s="2" t="s">
        <v>130</v>
      </c>
      <c r="D11" s="1">
        <v>35000</v>
      </c>
      <c r="E11" s="1">
        <f t="shared" si="0"/>
        <v>2500</v>
      </c>
      <c r="F11">
        <f t="shared" si="1"/>
        <v>2500</v>
      </c>
    </row>
    <row r="12" spans="1:9" x14ac:dyDescent="0.3">
      <c r="A12" s="24">
        <v>43749</v>
      </c>
      <c r="B12" s="2" t="s">
        <v>14</v>
      </c>
      <c r="C12" s="2" t="s">
        <v>130</v>
      </c>
      <c r="D12" s="1">
        <v>18000</v>
      </c>
      <c r="E12" s="1">
        <f t="shared" si="0"/>
        <v>2500</v>
      </c>
      <c r="F12">
        <f t="shared" si="1"/>
        <v>2500</v>
      </c>
    </row>
    <row r="13" spans="1:9" x14ac:dyDescent="0.3">
      <c r="A13" s="24">
        <v>43750</v>
      </c>
      <c r="B13" s="2" t="s">
        <v>15</v>
      </c>
      <c r="C13" s="2" t="s">
        <v>130</v>
      </c>
      <c r="D13" s="1">
        <v>21000</v>
      </c>
      <c r="E13" s="1">
        <f t="shared" si="0"/>
        <v>2500</v>
      </c>
      <c r="F13">
        <f t="shared" si="1"/>
        <v>2500</v>
      </c>
    </row>
    <row r="16" spans="1:9" x14ac:dyDescent="0.3">
      <c r="G16" s="25" t="s">
        <v>224</v>
      </c>
      <c r="H16" s="25" t="s">
        <v>225</v>
      </c>
      <c r="I16" s="25" t="s">
        <v>226</v>
      </c>
    </row>
    <row r="17" spans="7:9" x14ac:dyDescent="0.3">
      <c r="G17" s="2" t="s">
        <v>3</v>
      </c>
      <c r="H17" s="2">
        <v>85</v>
      </c>
      <c r="I17" s="1" t="str">
        <f t="shared" ref="I17:I28" si="2">IF($H17&gt;=90,"A+",IF($H17&gt;=80,"A",IF($H17&gt;=70,"B+",IF($H17&gt;=60,"B","C"))))</f>
        <v>A</v>
      </c>
    </row>
    <row r="18" spans="7:9" x14ac:dyDescent="0.3">
      <c r="G18" s="2" t="s">
        <v>4</v>
      </c>
      <c r="H18" s="2">
        <v>77</v>
      </c>
      <c r="I18" s="1" t="str">
        <f t="shared" si="2"/>
        <v>B+</v>
      </c>
    </row>
    <row r="19" spans="7:9" x14ac:dyDescent="0.3">
      <c r="G19" s="2" t="s">
        <v>5</v>
      </c>
      <c r="H19" s="2">
        <v>44</v>
      </c>
      <c r="I19" s="1" t="str">
        <f t="shared" si="2"/>
        <v>C</v>
      </c>
    </row>
    <row r="20" spans="7:9" x14ac:dyDescent="0.3">
      <c r="G20" s="2" t="s">
        <v>6</v>
      </c>
      <c r="H20" s="2">
        <v>77</v>
      </c>
      <c r="I20" s="1" t="str">
        <f t="shared" si="2"/>
        <v>B+</v>
      </c>
    </row>
    <row r="21" spans="7:9" x14ac:dyDescent="0.3">
      <c r="G21" s="2" t="s">
        <v>7</v>
      </c>
      <c r="H21" s="2">
        <v>89</v>
      </c>
      <c r="I21" s="1" t="str">
        <f t="shared" si="2"/>
        <v>A</v>
      </c>
    </row>
    <row r="22" spans="7:9" x14ac:dyDescent="0.3">
      <c r="G22" s="2" t="s">
        <v>8</v>
      </c>
      <c r="H22" s="2">
        <v>65</v>
      </c>
      <c r="I22" s="1" t="str">
        <f t="shared" si="2"/>
        <v>B</v>
      </c>
    </row>
    <row r="23" spans="7:9" x14ac:dyDescent="0.3">
      <c r="G23" s="2" t="s">
        <v>9</v>
      </c>
      <c r="H23" s="2">
        <v>55</v>
      </c>
      <c r="I23" s="1" t="str">
        <f t="shared" si="2"/>
        <v>C</v>
      </c>
    </row>
    <row r="24" spans="7:9" x14ac:dyDescent="0.3">
      <c r="G24" s="2" t="s">
        <v>12</v>
      </c>
      <c r="H24" s="2">
        <v>35</v>
      </c>
      <c r="I24" s="1" t="str">
        <f t="shared" si="2"/>
        <v>C</v>
      </c>
    </row>
    <row r="25" spans="7:9" x14ac:dyDescent="0.3">
      <c r="G25" s="2" t="s">
        <v>10</v>
      </c>
      <c r="H25" s="2">
        <v>99</v>
      </c>
      <c r="I25" s="1" t="str">
        <f t="shared" si="2"/>
        <v>A+</v>
      </c>
    </row>
    <row r="26" spans="7:9" x14ac:dyDescent="0.3">
      <c r="G26" s="2" t="s">
        <v>13</v>
      </c>
      <c r="H26" s="2">
        <v>88</v>
      </c>
      <c r="I26" s="1" t="str">
        <f t="shared" si="2"/>
        <v>A</v>
      </c>
    </row>
    <row r="27" spans="7:9" x14ac:dyDescent="0.3">
      <c r="G27" s="2" t="s">
        <v>14</v>
      </c>
      <c r="H27" s="2">
        <v>99</v>
      </c>
      <c r="I27" s="1" t="str">
        <f t="shared" si="2"/>
        <v>A+</v>
      </c>
    </row>
    <row r="28" spans="7:9" x14ac:dyDescent="0.3">
      <c r="G28" s="2" t="s">
        <v>15</v>
      </c>
      <c r="H28" s="2">
        <v>66</v>
      </c>
      <c r="I28" s="1" t="str">
        <f t="shared" si="2"/>
        <v>B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G1" zoomScale="175" zoomScaleNormal="175" workbookViewId="0">
      <selection activeCell="Q17" sqref="Q17"/>
    </sheetView>
  </sheetViews>
  <sheetFormatPr defaultRowHeight="16.5" x14ac:dyDescent="0.3"/>
  <cols>
    <col min="1" max="1" width="16.875" bestFit="1" customWidth="1"/>
    <col min="2" max="2" width="7.625" bestFit="1" customWidth="1"/>
    <col min="3" max="3" width="6.875" bestFit="1" customWidth="1"/>
    <col min="4" max="4" width="4.25" bestFit="1" customWidth="1"/>
    <col min="5" max="5" width="18.25" bestFit="1" customWidth="1"/>
    <col min="6" max="6" width="10.625" bestFit="1" customWidth="1"/>
    <col min="7" max="7" width="1.875" bestFit="1" customWidth="1"/>
    <col min="9" max="9" width="5" bestFit="1" customWidth="1"/>
    <col min="10" max="10" width="12.125" bestFit="1" customWidth="1"/>
    <col min="11" max="11" width="6.125" bestFit="1" customWidth="1"/>
    <col min="14" max="14" width="12" bestFit="1" customWidth="1"/>
    <col min="16" max="16" width="18.25" bestFit="1" customWidth="1"/>
    <col min="17" max="17" width="16.125" bestFit="1" customWidth="1"/>
  </cols>
  <sheetData>
    <row r="1" spans="1:17" x14ac:dyDescent="0.3">
      <c r="A1" s="25" t="s">
        <v>131</v>
      </c>
      <c r="B1" t="s">
        <v>194</v>
      </c>
      <c r="C1" t="s">
        <v>195</v>
      </c>
      <c r="D1" t="s">
        <v>196</v>
      </c>
      <c r="E1" s="25" t="s">
        <v>131</v>
      </c>
      <c r="I1" s="66" t="s">
        <v>194</v>
      </c>
      <c r="J1" s="66" t="s">
        <v>227</v>
      </c>
      <c r="K1" s="66" t="s">
        <v>195</v>
      </c>
      <c r="M1" s="66" t="s">
        <v>229</v>
      </c>
      <c r="N1" s="66" t="s">
        <v>230</v>
      </c>
      <c r="P1" s="25" t="s">
        <v>131</v>
      </c>
      <c r="Q1" s="25" t="s">
        <v>231</v>
      </c>
    </row>
    <row r="2" spans="1:17" x14ac:dyDescent="0.3">
      <c r="A2" s="2" t="s">
        <v>132</v>
      </c>
      <c r="B2" t="str">
        <f>LEFT(A2,6)</f>
        <v>Mumbai</v>
      </c>
      <c r="C2" t="str">
        <f>RIGHT(A2,6)</f>
        <v>400086</v>
      </c>
      <c r="D2" t="str">
        <f>MID(A2,4,3)</f>
        <v>bai</v>
      </c>
      <c r="E2" s="2" t="s">
        <v>132</v>
      </c>
      <c r="F2" t="str">
        <f>LEFT(E2,FIND(" ",E2,1)-1)</f>
        <v>Mumbai</v>
      </c>
      <c r="G2">
        <f>FIND(" ",E2,1)-1</f>
        <v>6</v>
      </c>
      <c r="I2" s="54" t="str">
        <f>LEFT(A2,3)</f>
        <v>Mum</v>
      </c>
      <c r="J2" s="54" t="str">
        <f>MID(A2,4,12)</f>
        <v>bai -400086</v>
      </c>
      <c r="K2" s="54" t="str">
        <f>RIGHT(A2,3)</f>
        <v>086</v>
      </c>
      <c r="M2">
        <f>FIND(" ",E2,1)</f>
        <v>7</v>
      </c>
      <c r="N2" t="str">
        <f>LEFT(E2,M2)</f>
        <v xml:space="preserve">Mumbai </v>
      </c>
      <c r="P2" s="2" t="s">
        <v>232</v>
      </c>
      <c r="Q2">
        <v>400086</v>
      </c>
    </row>
    <row r="3" spans="1:17" x14ac:dyDescent="0.3">
      <c r="A3" s="2" t="s">
        <v>133</v>
      </c>
      <c r="B3" t="str">
        <f t="shared" ref="B3:B13" si="0">LEFT(A3,6)</f>
        <v>Mumbai</v>
      </c>
      <c r="C3" t="str">
        <f t="shared" ref="C3:C13" si="1">RIGHT(A3,6)</f>
        <v>400087</v>
      </c>
      <c r="D3" t="str">
        <f t="shared" ref="D3:D13" si="2">MID(A3,4,3)</f>
        <v>bai</v>
      </c>
      <c r="E3" s="2" t="s">
        <v>143</v>
      </c>
      <c r="F3" t="str">
        <f t="shared" ref="F3:F13" si="3">LEFT(E3,FIND(" ",E3,1)-1)</f>
        <v>Delhi</v>
      </c>
      <c r="G3">
        <f t="shared" ref="G3:G13" si="4">FIND(" ",E3,1)-1</f>
        <v>5</v>
      </c>
      <c r="I3" s="54" t="str">
        <f t="shared" ref="I3:I13" si="5">LEFT(A3,3)</f>
        <v>Mum</v>
      </c>
      <c r="J3" s="54" t="str">
        <f t="shared" ref="J3:J13" si="6">MID(A3,4,12)</f>
        <v>bai -400087</v>
      </c>
      <c r="K3" s="54" t="str">
        <f t="shared" ref="K3:K13" si="7">RIGHT(A3,3)</f>
        <v>087</v>
      </c>
      <c r="M3">
        <f t="shared" ref="M3:M13" si="8">FIND(" ",E3,1)</f>
        <v>6</v>
      </c>
      <c r="N3" t="str">
        <f t="shared" ref="N3:N13" si="9">LEFT(E3,M3)</f>
        <v xml:space="preserve">Delhi </v>
      </c>
      <c r="P3" s="2" t="s">
        <v>233</v>
      </c>
      <c r="Q3">
        <v>400087</v>
      </c>
    </row>
    <row r="4" spans="1:17" x14ac:dyDescent="0.3">
      <c r="A4" s="2" t="s">
        <v>134</v>
      </c>
      <c r="B4" t="str">
        <f t="shared" si="0"/>
        <v>Mumbai</v>
      </c>
      <c r="C4" t="str">
        <f t="shared" si="1"/>
        <v>400088</v>
      </c>
      <c r="D4" t="str">
        <f t="shared" si="2"/>
        <v>bai</v>
      </c>
      <c r="E4" s="2" t="s">
        <v>144</v>
      </c>
      <c r="F4" t="str">
        <f t="shared" si="3"/>
        <v>Pune</v>
      </c>
      <c r="G4">
        <f t="shared" si="4"/>
        <v>4</v>
      </c>
      <c r="I4" s="54" t="str">
        <f t="shared" si="5"/>
        <v>Mum</v>
      </c>
      <c r="J4" s="54" t="str">
        <f t="shared" si="6"/>
        <v>bai -400088</v>
      </c>
      <c r="K4" s="54" t="str">
        <f t="shared" si="7"/>
        <v>088</v>
      </c>
      <c r="M4">
        <f t="shared" si="8"/>
        <v>5</v>
      </c>
      <c r="N4" t="str">
        <f t="shared" si="9"/>
        <v xml:space="preserve">Pune </v>
      </c>
      <c r="P4" s="2" t="s">
        <v>234</v>
      </c>
      <c r="Q4">
        <v>400088</v>
      </c>
    </row>
    <row r="5" spans="1:17" x14ac:dyDescent="0.3">
      <c r="A5" s="2" t="s">
        <v>135</v>
      </c>
      <c r="B5" t="str">
        <f t="shared" si="0"/>
        <v>Mumbai</v>
      </c>
      <c r="C5" t="str">
        <f t="shared" si="1"/>
        <v>400089</v>
      </c>
      <c r="D5" t="str">
        <f t="shared" si="2"/>
        <v>bai</v>
      </c>
      <c r="E5" s="2" t="s">
        <v>145</v>
      </c>
      <c r="F5" t="str">
        <f t="shared" si="3"/>
        <v>Chennai</v>
      </c>
      <c r="G5">
        <f t="shared" si="4"/>
        <v>7</v>
      </c>
      <c r="I5" s="54" t="str">
        <f t="shared" si="5"/>
        <v>Mum</v>
      </c>
      <c r="J5" s="54" t="str">
        <f t="shared" si="6"/>
        <v>bai -400089</v>
      </c>
      <c r="K5" s="54" t="str">
        <f t="shared" si="7"/>
        <v>089</v>
      </c>
      <c r="M5">
        <f t="shared" si="8"/>
        <v>8</v>
      </c>
      <c r="N5" t="str">
        <f t="shared" si="9"/>
        <v xml:space="preserve">Chennai </v>
      </c>
      <c r="P5" s="2" t="s">
        <v>235</v>
      </c>
      <c r="Q5">
        <v>400089</v>
      </c>
    </row>
    <row r="6" spans="1:17" x14ac:dyDescent="0.3">
      <c r="A6" s="2" t="s">
        <v>136</v>
      </c>
      <c r="B6" t="str">
        <f t="shared" si="0"/>
        <v>Mumbai</v>
      </c>
      <c r="C6" t="str">
        <f t="shared" si="1"/>
        <v>400090</v>
      </c>
      <c r="D6" t="str">
        <f t="shared" si="2"/>
        <v>bai</v>
      </c>
      <c r="E6" s="2" t="s">
        <v>146</v>
      </c>
      <c r="F6" t="str">
        <f t="shared" si="3"/>
        <v>Alhabad</v>
      </c>
      <c r="G6">
        <f t="shared" si="4"/>
        <v>7</v>
      </c>
      <c r="I6" s="54" t="str">
        <f t="shared" si="5"/>
        <v>Mum</v>
      </c>
      <c r="J6" s="54" t="str">
        <f t="shared" si="6"/>
        <v>bai -400090</v>
      </c>
      <c r="K6" s="54" t="str">
        <f t="shared" si="7"/>
        <v>090</v>
      </c>
      <c r="M6">
        <f t="shared" si="8"/>
        <v>8</v>
      </c>
      <c r="N6" t="str">
        <f t="shared" si="9"/>
        <v xml:space="preserve">Alhabad </v>
      </c>
      <c r="P6" s="2" t="s">
        <v>236</v>
      </c>
      <c r="Q6">
        <v>400090</v>
      </c>
    </row>
    <row r="7" spans="1:17" x14ac:dyDescent="0.3">
      <c r="A7" s="2" t="s">
        <v>137</v>
      </c>
      <c r="B7" t="str">
        <f t="shared" si="0"/>
        <v>Mumbai</v>
      </c>
      <c r="C7" t="str">
        <f t="shared" si="1"/>
        <v>400091</v>
      </c>
      <c r="D7" t="str">
        <f t="shared" si="2"/>
        <v>bai</v>
      </c>
      <c r="E7" s="2" t="s">
        <v>147</v>
      </c>
      <c r="F7" t="str">
        <f t="shared" si="3"/>
        <v>Surat</v>
      </c>
      <c r="G7">
        <f t="shared" si="4"/>
        <v>5</v>
      </c>
      <c r="I7" s="54" t="str">
        <f t="shared" si="5"/>
        <v>Mum</v>
      </c>
      <c r="J7" s="54" t="str">
        <f t="shared" si="6"/>
        <v>bai -400091</v>
      </c>
      <c r="K7" s="54" t="str">
        <f t="shared" si="7"/>
        <v>091</v>
      </c>
      <c r="M7">
        <f t="shared" si="8"/>
        <v>6</v>
      </c>
      <c r="N7" t="str">
        <f t="shared" si="9"/>
        <v xml:space="preserve">Surat </v>
      </c>
      <c r="P7" s="2" t="s">
        <v>237</v>
      </c>
      <c r="Q7">
        <v>400091</v>
      </c>
    </row>
    <row r="8" spans="1:17" x14ac:dyDescent="0.3">
      <c r="A8" s="2" t="s">
        <v>138</v>
      </c>
      <c r="B8" t="str">
        <f t="shared" si="0"/>
        <v>Mumbai</v>
      </c>
      <c r="C8" t="str">
        <f t="shared" si="1"/>
        <v>400092</v>
      </c>
      <c r="D8" t="str">
        <f t="shared" si="2"/>
        <v>bai</v>
      </c>
      <c r="E8" s="2" t="s">
        <v>197</v>
      </c>
      <c r="F8" t="str">
        <f t="shared" si="3"/>
        <v>Ahmedabad</v>
      </c>
      <c r="G8">
        <f t="shared" si="4"/>
        <v>9</v>
      </c>
      <c r="I8" s="54" t="str">
        <f t="shared" si="5"/>
        <v>Mum</v>
      </c>
      <c r="J8" s="54" t="str">
        <f t="shared" si="6"/>
        <v>bai -400092</v>
      </c>
      <c r="K8" s="54" t="str">
        <f t="shared" si="7"/>
        <v>092</v>
      </c>
      <c r="M8">
        <f t="shared" si="8"/>
        <v>10</v>
      </c>
      <c r="N8" t="str">
        <f t="shared" si="9"/>
        <v xml:space="preserve">Ahmedabad </v>
      </c>
      <c r="P8" s="2" t="s">
        <v>238</v>
      </c>
      <c r="Q8">
        <v>400092</v>
      </c>
    </row>
    <row r="9" spans="1:17" x14ac:dyDescent="0.3">
      <c r="A9" s="2" t="s">
        <v>139</v>
      </c>
      <c r="B9" t="str">
        <f t="shared" si="0"/>
        <v>Mumbai</v>
      </c>
      <c r="C9" t="str">
        <f t="shared" si="1"/>
        <v>400093</v>
      </c>
      <c r="D9" t="str">
        <f t="shared" si="2"/>
        <v>bai</v>
      </c>
      <c r="E9" s="2" t="s">
        <v>148</v>
      </c>
      <c r="F9" t="str">
        <f t="shared" si="3"/>
        <v>Punji</v>
      </c>
      <c r="G9">
        <f t="shared" si="4"/>
        <v>5</v>
      </c>
      <c r="I9" s="54" t="str">
        <f t="shared" si="5"/>
        <v>Mum</v>
      </c>
      <c r="J9" s="54" t="str">
        <f t="shared" si="6"/>
        <v>bai -400093</v>
      </c>
      <c r="K9" s="54" t="str">
        <f t="shared" si="7"/>
        <v>093</v>
      </c>
      <c r="M9">
        <f t="shared" si="8"/>
        <v>6</v>
      </c>
      <c r="N9" t="str">
        <f t="shared" si="9"/>
        <v xml:space="preserve">Punji </v>
      </c>
      <c r="P9" s="2" t="s">
        <v>239</v>
      </c>
      <c r="Q9">
        <v>400093</v>
      </c>
    </row>
    <row r="10" spans="1:17" x14ac:dyDescent="0.3">
      <c r="A10" s="2" t="s">
        <v>140</v>
      </c>
      <c r="B10" t="str">
        <f t="shared" si="0"/>
        <v>Mumbai</v>
      </c>
      <c r="C10" t="str">
        <f t="shared" si="1"/>
        <v>400094</v>
      </c>
      <c r="D10" t="str">
        <f t="shared" si="2"/>
        <v>bai</v>
      </c>
      <c r="E10" s="2" t="s">
        <v>149</v>
      </c>
      <c r="F10" t="str">
        <f t="shared" si="3"/>
        <v>Bhopal</v>
      </c>
      <c r="G10">
        <f t="shared" si="4"/>
        <v>6</v>
      </c>
      <c r="I10" s="54" t="str">
        <f t="shared" si="5"/>
        <v>Mum</v>
      </c>
      <c r="J10" s="54" t="str">
        <f t="shared" si="6"/>
        <v>bai -400094</v>
      </c>
      <c r="K10" s="54" t="str">
        <f t="shared" si="7"/>
        <v>094</v>
      </c>
      <c r="M10">
        <f t="shared" si="8"/>
        <v>7</v>
      </c>
      <c r="N10" t="str">
        <f t="shared" si="9"/>
        <v xml:space="preserve">Bhopal </v>
      </c>
      <c r="P10" s="2" t="s">
        <v>240</v>
      </c>
      <c r="Q10">
        <v>400094</v>
      </c>
    </row>
    <row r="11" spans="1:17" x14ac:dyDescent="0.3">
      <c r="A11" s="2" t="s">
        <v>141</v>
      </c>
      <c r="B11" t="str">
        <f t="shared" si="0"/>
        <v>Mumbai</v>
      </c>
      <c r="C11" t="str">
        <f t="shared" si="1"/>
        <v>400095</v>
      </c>
      <c r="D11" t="str">
        <f t="shared" si="2"/>
        <v>bai</v>
      </c>
      <c r="E11" s="2" t="s">
        <v>150</v>
      </c>
      <c r="F11" t="str">
        <f t="shared" si="3"/>
        <v>Ranchi</v>
      </c>
      <c r="G11">
        <f t="shared" si="4"/>
        <v>6</v>
      </c>
      <c r="I11" s="54" t="str">
        <f t="shared" si="5"/>
        <v>Mum</v>
      </c>
      <c r="J11" s="54" t="str">
        <f t="shared" si="6"/>
        <v>bai -400095</v>
      </c>
      <c r="K11" s="54" t="str">
        <f t="shared" si="7"/>
        <v>095</v>
      </c>
      <c r="M11">
        <f t="shared" si="8"/>
        <v>7</v>
      </c>
      <c r="N11" t="str">
        <f t="shared" si="9"/>
        <v xml:space="preserve">Ranchi </v>
      </c>
      <c r="P11" s="2" t="s">
        <v>241</v>
      </c>
      <c r="Q11">
        <v>400095</v>
      </c>
    </row>
    <row r="12" spans="1:17" x14ac:dyDescent="0.3">
      <c r="A12" s="2" t="s">
        <v>142</v>
      </c>
      <c r="B12" t="str">
        <f t="shared" si="0"/>
        <v>Mumbai</v>
      </c>
      <c r="C12" t="str">
        <f t="shared" si="1"/>
        <v>400096</v>
      </c>
      <c r="D12" t="str">
        <f t="shared" si="2"/>
        <v>bai</v>
      </c>
      <c r="E12" s="2" t="s">
        <v>151</v>
      </c>
      <c r="F12" t="str">
        <f t="shared" si="3"/>
        <v>Amrutsar</v>
      </c>
      <c r="G12">
        <f t="shared" si="4"/>
        <v>8</v>
      </c>
      <c r="I12" s="54" t="str">
        <f t="shared" si="5"/>
        <v>Mum</v>
      </c>
      <c r="J12" s="54" t="str">
        <f t="shared" si="6"/>
        <v>bai -400096</v>
      </c>
      <c r="K12" s="54" t="str">
        <f t="shared" si="7"/>
        <v>096</v>
      </c>
      <c r="M12">
        <f t="shared" si="8"/>
        <v>9</v>
      </c>
      <c r="N12" t="str">
        <f t="shared" si="9"/>
        <v xml:space="preserve">Amrutsar </v>
      </c>
      <c r="P12" s="2" t="s">
        <v>242</v>
      </c>
      <c r="Q12">
        <v>400096</v>
      </c>
    </row>
    <row r="13" spans="1:17" x14ac:dyDescent="0.3">
      <c r="A13" s="2" t="s">
        <v>228</v>
      </c>
      <c r="B13" t="str">
        <f t="shared" si="0"/>
        <v>MEEMba</v>
      </c>
      <c r="C13" t="str">
        <f t="shared" si="1"/>
        <v>400099</v>
      </c>
      <c r="D13" t="str">
        <f t="shared" si="2"/>
        <v>Mba</v>
      </c>
      <c r="E13" s="2" t="s">
        <v>152</v>
      </c>
      <c r="F13" t="str">
        <f t="shared" si="3"/>
        <v>Kolkatta</v>
      </c>
      <c r="G13">
        <f t="shared" si="4"/>
        <v>8</v>
      </c>
      <c r="I13" s="54" t="str">
        <f t="shared" si="5"/>
        <v>MEE</v>
      </c>
      <c r="J13" s="54" t="str">
        <f t="shared" si="6"/>
        <v>Mbai -400099</v>
      </c>
      <c r="K13" s="54" t="str">
        <f t="shared" si="7"/>
        <v>099</v>
      </c>
      <c r="M13">
        <f t="shared" si="8"/>
        <v>9</v>
      </c>
      <c r="N13" t="str">
        <f t="shared" si="9"/>
        <v xml:space="preserve">Kolkatta </v>
      </c>
      <c r="P13" s="2" t="s">
        <v>243</v>
      </c>
      <c r="Q13">
        <v>400097</v>
      </c>
    </row>
    <row r="17" spans="15:16" x14ac:dyDescent="0.3">
      <c r="O17" s="79" t="s">
        <v>244</v>
      </c>
      <c r="P17" s="79"/>
    </row>
    <row r="18" spans="15:16" x14ac:dyDescent="0.3">
      <c r="O18" s="79"/>
      <c r="P18" s="79"/>
    </row>
  </sheetData>
  <mergeCells count="1">
    <mergeCell ref="O17:P18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265" zoomScaleNormal="265" workbookViewId="0">
      <selection activeCell="G9" sqref="G9"/>
    </sheetView>
  </sheetViews>
  <sheetFormatPr defaultRowHeight="16.5" x14ac:dyDescent="0.3"/>
  <cols>
    <col min="1" max="1" width="12.625" customWidth="1"/>
    <col min="2" max="2" width="18.875" customWidth="1"/>
    <col min="3" max="3" width="9.875" customWidth="1"/>
    <col min="5" max="7" width="11.75" customWidth="1"/>
  </cols>
  <sheetData>
    <row r="1" spans="1:7" ht="21" customHeight="1" x14ac:dyDescent="0.3">
      <c r="A1" s="80"/>
      <c r="B1" s="80"/>
      <c r="C1" s="80"/>
      <c r="D1" s="41"/>
      <c r="E1" s="41"/>
      <c r="F1" s="41"/>
    </row>
    <row r="2" spans="1:7" x14ac:dyDescent="0.3">
      <c r="A2" s="44" t="s">
        <v>185</v>
      </c>
      <c r="B2" s="44" t="s">
        <v>184</v>
      </c>
      <c r="C2" s="44" t="s">
        <v>183</v>
      </c>
      <c r="E2" s="44" t="s">
        <v>245</v>
      </c>
      <c r="F2" s="44" t="s">
        <v>184</v>
      </c>
      <c r="G2" s="44" t="s">
        <v>183</v>
      </c>
    </row>
    <row r="3" spans="1:7" ht="17.25" customHeight="1" x14ac:dyDescent="0.3">
      <c r="A3" s="45" t="s">
        <v>29</v>
      </c>
      <c r="B3" s="46">
        <v>3</v>
      </c>
      <c r="C3" s="47" t="str">
        <f>REPT("@",B3)</f>
        <v>@@@</v>
      </c>
      <c r="E3" s="45" t="s">
        <v>246</v>
      </c>
      <c r="F3" s="46">
        <v>3</v>
      </c>
      <c r="G3" s="47" t="str">
        <f>REPT("❤",$F3)</f>
        <v>❤❤❤</v>
      </c>
    </row>
    <row r="4" spans="1:7" x14ac:dyDescent="0.3">
      <c r="A4" s="45" t="s">
        <v>28</v>
      </c>
      <c r="B4" s="46">
        <v>5</v>
      </c>
      <c r="C4" s="47" t="str">
        <f t="shared" ref="C4:C7" si="0">REPT("@",B4)</f>
        <v>@@@@@</v>
      </c>
      <c r="E4" s="45" t="s">
        <v>247</v>
      </c>
      <c r="F4" s="46">
        <v>5</v>
      </c>
      <c r="G4" s="47" t="str">
        <f t="shared" ref="G4:G7" si="1">REPT("❤",$F4)</f>
        <v>❤❤❤❤❤</v>
      </c>
    </row>
    <row r="5" spans="1:7" x14ac:dyDescent="0.3">
      <c r="A5" s="45" t="s">
        <v>186</v>
      </c>
      <c r="B5" s="46">
        <v>3</v>
      </c>
      <c r="C5" s="47" t="str">
        <f t="shared" si="0"/>
        <v>@@@</v>
      </c>
      <c r="E5" s="45" t="s">
        <v>248</v>
      </c>
      <c r="F5" s="46">
        <v>3</v>
      </c>
      <c r="G5" s="47" t="str">
        <f t="shared" si="1"/>
        <v>❤❤❤</v>
      </c>
    </row>
    <row r="6" spans="1:7" x14ac:dyDescent="0.3">
      <c r="A6" s="45" t="s">
        <v>187</v>
      </c>
      <c r="B6" s="46">
        <v>2</v>
      </c>
      <c r="C6" s="47" t="str">
        <f t="shared" si="0"/>
        <v>@@</v>
      </c>
      <c r="E6" s="45" t="s">
        <v>249</v>
      </c>
      <c r="F6" s="46">
        <v>2</v>
      </c>
      <c r="G6" s="47" t="str">
        <f t="shared" si="1"/>
        <v>❤❤</v>
      </c>
    </row>
    <row r="7" spans="1:7" x14ac:dyDescent="0.3">
      <c r="A7" s="45" t="s">
        <v>188</v>
      </c>
      <c r="B7" s="46">
        <v>1</v>
      </c>
      <c r="C7" s="47" t="str">
        <f t="shared" si="0"/>
        <v>@</v>
      </c>
      <c r="E7" s="45" t="s">
        <v>250</v>
      </c>
      <c r="F7" s="46">
        <v>1</v>
      </c>
      <c r="G7" s="47" t="str">
        <f t="shared" si="1"/>
        <v>❤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250" zoomScaleNormal="250" workbookViewId="0">
      <selection activeCell="F3" sqref="F3:F6"/>
    </sheetView>
  </sheetViews>
  <sheetFormatPr defaultRowHeight="16.5" x14ac:dyDescent="0.3"/>
  <cols>
    <col min="1" max="1" width="19.5" customWidth="1"/>
    <col min="2" max="2" width="20.25" customWidth="1"/>
    <col min="4" max="4" width="15" bestFit="1" customWidth="1"/>
    <col min="5" max="5" width="17.25" bestFit="1" customWidth="1"/>
    <col min="6" max="6" width="14.5" bestFit="1" customWidth="1"/>
  </cols>
  <sheetData>
    <row r="1" spans="1:6" ht="21" customHeight="1" x14ac:dyDescent="0.3">
      <c r="A1" s="81"/>
      <c r="B1" s="82"/>
      <c r="C1" s="41"/>
      <c r="D1" s="41"/>
      <c r="E1" s="41"/>
    </row>
    <row r="2" spans="1:6" x14ac:dyDescent="0.3">
      <c r="A2" s="42" t="s">
        <v>182</v>
      </c>
      <c r="B2" s="42" t="s">
        <v>181</v>
      </c>
      <c r="D2" s="42" t="s">
        <v>182</v>
      </c>
      <c r="E2" s="42" t="s">
        <v>181</v>
      </c>
      <c r="F2" s="67" t="s">
        <v>251</v>
      </c>
    </row>
    <row r="3" spans="1:6" ht="17.25" customHeight="1" x14ac:dyDescent="0.3">
      <c r="A3" s="43" t="s">
        <v>180</v>
      </c>
      <c r="B3" s="43" t="str">
        <f>SUBSTITUTE(A3,"-","")</f>
        <v>9812345678</v>
      </c>
      <c r="D3" s="43" t="s">
        <v>180</v>
      </c>
      <c r="E3" s="1" t="str">
        <f>SUBSTITUTE(D3,"-","/")</f>
        <v>9812/34/56/78</v>
      </c>
      <c r="F3" s="1" t="str">
        <f>SUBSTITUTE(D3,"-","@")</f>
        <v>9812@34@56@78</v>
      </c>
    </row>
    <row r="4" spans="1:6" x14ac:dyDescent="0.3">
      <c r="A4" s="43" t="s">
        <v>179</v>
      </c>
      <c r="B4" s="43" t="str">
        <f>SUBSTITUTE(A4,", ","-")</f>
        <v>MUMBAI-400086</v>
      </c>
      <c r="D4" s="43" t="s">
        <v>179</v>
      </c>
      <c r="E4" s="1" t="str">
        <f>SUBSTITUTE(D4,",","*")</f>
        <v>MUMBAI* 400086</v>
      </c>
      <c r="F4" s="1" t="str">
        <f t="shared" ref="F4:F6" si="0">SUBSTITUTE(D4,"-","@")</f>
        <v>MUMBAI, 400086</v>
      </c>
    </row>
    <row r="5" spans="1:6" x14ac:dyDescent="0.3">
      <c r="A5" s="43" t="s">
        <v>178</v>
      </c>
      <c r="B5" s="43" t="str">
        <f>SUBSTITUTE(A5,"-","")</f>
        <v>9812121212</v>
      </c>
      <c r="D5" s="43" t="s">
        <v>178</v>
      </c>
      <c r="E5" s="1" t="str">
        <f t="shared" ref="E5" si="1">SUBSTITUTE(D5,"-","/")</f>
        <v>9812/12/12/12</v>
      </c>
      <c r="F5" s="1" t="str">
        <f t="shared" si="0"/>
        <v>9812@12@12@12</v>
      </c>
    </row>
    <row r="6" spans="1:6" x14ac:dyDescent="0.3">
      <c r="A6" s="43" t="s">
        <v>177</v>
      </c>
      <c r="B6" s="43" t="str">
        <f>SUBSTITUTE(A6,",","-")</f>
        <v>DELHI-400001</v>
      </c>
      <c r="D6" s="43" t="s">
        <v>177</v>
      </c>
      <c r="E6" s="1" t="str">
        <f>SUBSTITUTE(D6,",","*")</f>
        <v>DELHI*400001</v>
      </c>
      <c r="F6" s="1" t="str">
        <f t="shared" si="0"/>
        <v>DELHI,400001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200" zoomScaleNormal="200" workbookViewId="0">
      <selection activeCell="K1" sqref="H1:K5"/>
    </sheetView>
  </sheetViews>
  <sheetFormatPr defaultRowHeight="16.5" x14ac:dyDescent="0.3"/>
  <cols>
    <col min="1" max="1" width="14.5" customWidth="1"/>
    <col min="3" max="3" width="11.25" customWidth="1"/>
    <col min="4" max="4" width="9.75" customWidth="1"/>
    <col min="5" max="5" width="10.25" customWidth="1"/>
    <col min="8" max="8" width="7.375" customWidth="1"/>
    <col min="9" max="9" width="8.625" customWidth="1"/>
  </cols>
  <sheetData>
    <row r="1" spans="1:9" x14ac:dyDescent="0.3">
      <c r="A1" s="68" t="s">
        <v>33</v>
      </c>
      <c r="B1" s="68"/>
      <c r="C1" s="68"/>
      <c r="D1" s="68"/>
      <c r="E1" s="68"/>
      <c r="H1" s="68" t="s">
        <v>199</v>
      </c>
      <c r="I1" s="68"/>
    </row>
    <row r="2" spans="1:9" x14ac:dyDescent="0.3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H2" s="3" t="s">
        <v>200</v>
      </c>
      <c r="I2" s="52" t="s">
        <v>27</v>
      </c>
    </row>
    <row r="3" spans="1:9" x14ac:dyDescent="0.3">
      <c r="A3" s="5">
        <v>0.29166666666666669</v>
      </c>
      <c r="B3" s="2" t="s">
        <v>28</v>
      </c>
      <c r="C3" s="2" t="s">
        <v>29</v>
      </c>
      <c r="D3" s="2" t="s">
        <v>30</v>
      </c>
      <c r="E3" s="2" t="s">
        <v>31</v>
      </c>
      <c r="H3">
        <v>0.45833333333333298</v>
      </c>
      <c r="I3" s="53"/>
    </row>
    <row r="4" spans="1:9" x14ac:dyDescent="0.3">
      <c r="A4" s="5">
        <v>0.33333333333333298</v>
      </c>
      <c r="B4" s="2" t="s">
        <v>29</v>
      </c>
      <c r="C4" s="2" t="s">
        <v>32</v>
      </c>
      <c r="D4" s="2" t="s">
        <v>29</v>
      </c>
      <c r="E4" s="2" t="s">
        <v>30</v>
      </c>
    </row>
    <row r="5" spans="1:9" x14ac:dyDescent="0.3">
      <c r="A5" s="5">
        <v>0.375</v>
      </c>
      <c r="B5" s="2" t="s">
        <v>31</v>
      </c>
      <c r="C5" s="2" t="s">
        <v>30</v>
      </c>
      <c r="D5" s="2" t="s">
        <v>30</v>
      </c>
      <c r="E5" s="2" t="s">
        <v>29</v>
      </c>
      <c r="H5">
        <f>MATCH(B6,B3:B9,0)</f>
        <v>4</v>
      </c>
    </row>
    <row r="6" spans="1:9" x14ac:dyDescent="0.3">
      <c r="A6" s="5">
        <v>0.41666666666666702</v>
      </c>
      <c r="B6" s="2" t="s">
        <v>30</v>
      </c>
      <c r="C6" s="2" t="s">
        <v>28</v>
      </c>
      <c r="D6" s="2" t="s">
        <v>31</v>
      </c>
      <c r="E6" s="2" t="s">
        <v>28</v>
      </c>
    </row>
    <row r="7" spans="1:9" x14ac:dyDescent="0.3">
      <c r="A7" s="5">
        <v>0.45833333333333298</v>
      </c>
      <c r="B7" s="2" t="s">
        <v>28</v>
      </c>
      <c r="C7" s="2" t="s">
        <v>29</v>
      </c>
      <c r="D7" s="2" t="s">
        <v>28</v>
      </c>
      <c r="E7" s="2" t="s">
        <v>29</v>
      </c>
    </row>
    <row r="8" spans="1:9" x14ac:dyDescent="0.3">
      <c r="A8" s="5">
        <v>0.5</v>
      </c>
      <c r="B8" s="2" t="s">
        <v>29</v>
      </c>
      <c r="C8" s="2" t="s">
        <v>30</v>
      </c>
      <c r="D8" s="2" t="s">
        <v>29</v>
      </c>
      <c r="E8" s="2" t="s">
        <v>28</v>
      </c>
    </row>
    <row r="9" spans="1:9" x14ac:dyDescent="0.3">
      <c r="A9" s="5">
        <v>0.54166666666666696</v>
      </c>
      <c r="B9" s="2" t="s">
        <v>31</v>
      </c>
      <c r="C9" s="2" t="s">
        <v>32</v>
      </c>
      <c r="D9" s="2" t="s">
        <v>30</v>
      </c>
      <c r="E9" s="2" t="s">
        <v>29</v>
      </c>
    </row>
  </sheetData>
  <mergeCells count="2">
    <mergeCell ref="A1:E1"/>
    <mergeCell ref="H1:I1"/>
  </mergeCells>
  <dataValidations count="2">
    <dataValidation type="list" allowBlank="1" showInputMessage="1" showErrorMessage="1" sqref="I2">
      <formula1>$B$2:$E$2</formula1>
    </dataValidation>
    <dataValidation type="list" allowBlank="1" showInputMessage="1" showErrorMessage="1" sqref="H3">
      <formula1>$A$3:$A$9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G1" zoomScale="220" zoomScaleNormal="220" workbookViewId="0">
      <selection activeCell="G16" sqref="G16"/>
    </sheetView>
  </sheetViews>
  <sheetFormatPr defaultRowHeight="16.5" x14ac:dyDescent="0.3"/>
  <cols>
    <col min="1" max="1" width="11" customWidth="1"/>
    <col min="2" max="2" width="15.875" customWidth="1"/>
    <col min="3" max="3" width="11.5" customWidth="1"/>
    <col min="4" max="4" width="13.625" customWidth="1"/>
    <col min="5" max="5" width="22.5" customWidth="1"/>
    <col min="6" max="6" width="11.875" customWidth="1"/>
    <col min="7" max="7" width="15.625" bestFit="1" customWidth="1"/>
    <col min="8" max="9" width="13.875" customWidth="1"/>
    <col min="11" max="11" width="13.875" customWidth="1"/>
    <col min="12" max="12" width="13.5" customWidth="1"/>
    <col min="14" max="14" width="15.875" customWidth="1"/>
    <col min="15" max="15" width="15" customWidth="1"/>
  </cols>
  <sheetData>
    <row r="1" spans="1:17" ht="18.75" x14ac:dyDescent="0.4">
      <c r="A1" s="37" t="s">
        <v>160</v>
      </c>
      <c r="B1" s="84" t="s">
        <v>176</v>
      </c>
      <c r="C1" s="85"/>
      <c r="F1" s="36" t="s">
        <v>163</v>
      </c>
      <c r="G1" s="37" t="s">
        <v>175</v>
      </c>
      <c r="H1" s="37" t="s">
        <v>174</v>
      </c>
      <c r="I1" s="37" t="s">
        <v>159</v>
      </c>
      <c r="K1" s="86" t="s">
        <v>173</v>
      </c>
      <c r="L1" s="87"/>
      <c r="N1" s="88" t="s">
        <v>172</v>
      </c>
      <c r="O1" s="88"/>
    </row>
    <row r="2" spans="1:17" x14ac:dyDescent="0.3">
      <c r="B2" s="1" t="s">
        <v>171</v>
      </c>
      <c r="E2" s="35" t="s">
        <v>170</v>
      </c>
      <c r="F2" s="1">
        <v>1</v>
      </c>
      <c r="G2" s="30">
        <f>IPMT($C$3/12,F2,$C$5,-$C$4)</f>
        <v>833.33333333333337</v>
      </c>
      <c r="H2" s="30">
        <f>PPMT($C$3/12,F2,$C$5,-$C$4)</f>
        <v>9630.704765605522</v>
      </c>
      <c r="I2" s="30">
        <f>G2+H2</f>
        <v>10464.038098938856</v>
      </c>
      <c r="K2" s="1" t="s">
        <v>158</v>
      </c>
      <c r="L2" s="1"/>
      <c r="N2" s="1"/>
      <c r="O2" s="1"/>
    </row>
    <row r="3" spans="1:17" x14ac:dyDescent="0.3">
      <c r="A3" s="34" t="s">
        <v>169</v>
      </c>
      <c r="B3" s="1" t="s">
        <v>167</v>
      </c>
      <c r="C3" s="33">
        <v>0.1</v>
      </c>
      <c r="D3" s="1" t="s">
        <v>168</v>
      </c>
      <c r="E3" s="1" t="s">
        <v>110</v>
      </c>
      <c r="F3" s="1">
        <v>2</v>
      </c>
      <c r="G3" s="30">
        <f>IPMT($C$3/12,F3,$C$5,-$C$4)</f>
        <v>753.07746028662052</v>
      </c>
      <c r="H3" s="30">
        <f t="shared" ref="H3:H11" si="0">PPMT($C$3/12,F3,$C$5,-$C$4)</f>
        <v>9710.9606386522355</v>
      </c>
      <c r="I3" s="30">
        <f t="shared" ref="I3:I11" si="1">G3+H3</f>
        <v>10464.038098938856</v>
      </c>
      <c r="K3" s="1" t="s">
        <v>167</v>
      </c>
      <c r="L3" s="33">
        <v>0.1</v>
      </c>
      <c r="N3" s="1" t="s">
        <v>167</v>
      </c>
      <c r="O3" s="33">
        <v>0.03</v>
      </c>
    </row>
    <row r="4" spans="1:17" x14ac:dyDescent="0.3">
      <c r="B4" s="34" t="s">
        <v>158</v>
      </c>
      <c r="C4" s="1">
        <v>100000</v>
      </c>
      <c r="D4" s="38" t="s">
        <v>166</v>
      </c>
      <c r="E4" s="1" t="s">
        <v>165</v>
      </c>
      <c r="F4" s="1">
        <v>3</v>
      </c>
      <c r="G4" s="30">
        <f>IPMT($C$3/12,F4,$C$5,-$C$4)</f>
        <v>672.15278829785188</v>
      </c>
      <c r="H4" s="30">
        <f t="shared" si="0"/>
        <v>9791.8853106410024</v>
      </c>
      <c r="I4" s="30">
        <f t="shared" si="1"/>
        <v>10464.038098938854</v>
      </c>
      <c r="K4" s="1" t="s">
        <v>159</v>
      </c>
      <c r="L4" s="1">
        <v>20000</v>
      </c>
      <c r="N4" s="1" t="s">
        <v>159</v>
      </c>
      <c r="O4" s="1">
        <v>5500</v>
      </c>
    </row>
    <row r="5" spans="1:17" x14ac:dyDescent="0.3">
      <c r="B5" s="34" t="s">
        <v>164</v>
      </c>
      <c r="C5" s="1">
        <v>10</v>
      </c>
      <c r="D5" s="38" t="s">
        <v>163</v>
      </c>
      <c r="E5" s="1" t="s">
        <v>162</v>
      </c>
      <c r="F5" s="1">
        <v>4</v>
      </c>
      <c r="G5" s="30">
        <f t="shared" ref="G5:G11" si="2">IPMT($C$3/12,F5,$C$5,-$C$4)</f>
        <v>590.55374404251017</v>
      </c>
      <c r="H5" s="30">
        <f t="shared" si="0"/>
        <v>9873.4843548963454</v>
      </c>
      <c r="I5" s="30">
        <f t="shared" si="1"/>
        <v>10464.038098938856</v>
      </c>
      <c r="K5" s="1" t="s">
        <v>161</v>
      </c>
      <c r="L5" s="1">
        <v>60</v>
      </c>
      <c r="N5" s="1" t="s">
        <v>161</v>
      </c>
      <c r="O5" s="1">
        <v>12</v>
      </c>
    </row>
    <row r="6" spans="1:17" x14ac:dyDescent="0.3">
      <c r="C6" s="1"/>
      <c r="F6" s="1">
        <v>5</v>
      </c>
      <c r="G6" s="30">
        <f t="shared" si="2"/>
        <v>508.2747077517073</v>
      </c>
      <c r="H6" s="30">
        <f t="shared" si="0"/>
        <v>9955.763391187149</v>
      </c>
      <c r="I6" s="30">
        <f t="shared" si="1"/>
        <v>10464.038098938856</v>
      </c>
      <c r="Q6">
        <f>O4*O5</f>
        <v>66000</v>
      </c>
    </row>
    <row r="7" spans="1:17" x14ac:dyDescent="0.3">
      <c r="A7" s="1" t="s">
        <v>160</v>
      </c>
      <c r="B7" s="34" t="s">
        <v>159</v>
      </c>
      <c r="C7" s="39">
        <f>PMT(C3/12,C5,-C4)</f>
        <v>10464.038098938856</v>
      </c>
      <c r="F7" s="1">
        <v>6</v>
      </c>
      <c r="G7" s="30">
        <f t="shared" si="2"/>
        <v>425.31001282514779</v>
      </c>
      <c r="H7" s="30">
        <f t="shared" si="0"/>
        <v>10038.728086113708</v>
      </c>
      <c r="I7" s="30">
        <f t="shared" si="1"/>
        <v>10464.038098938856</v>
      </c>
      <c r="K7" s="1" t="s">
        <v>158</v>
      </c>
      <c r="L7" s="32">
        <f>PV(L3/12,L5,-L4)</f>
        <v>941307.38047503715</v>
      </c>
      <c r="N7" s="1" t="s">
        <v>157</v>
      </c>
      <c r="O7" s="32">
        <f>FV(O3/12,O5,-O4)</f>
        <v>66915.10520971482</v>
      </c>
    </row>
    <row r="8" spans="1:17" x14ac:dyDescent="0.3">
      <c r="A8" s="1" t="s">
        <v>156</v>
      </c>
      <c r="B8" s="34" t="s">
        <v>155</v>
      </c>
      <c r="C8" s="1">
        <f>C7*C5</f>
        <v>104640.38098938856</v>
      </c>
      <c r="E8" s="29"/>
      <c r="F8" s="1">
        <v>7</v>
      </c>
      <c r="G8" s="30">
        <f t="shared" si="2"/>
        <v>341.65394544086683</v>
      </c>
      <c r="H8" s="30">
        <f t="shared" si="0"/>
        <v>10122.384153497989</v>
      </c>
      <c r="I8" s="30">
        <f t="shared" si="1"/>
        <v>10464.038098938856</v>
      </c>
    </row>
    <row r="9" spans="1:17" x14ac:dyDescent="0.3">
      <c r="A9" s="1" t="s">
        <v>102</v>
      </c>
      <c r="B9" s="34" t="s">
        <v>154</v>
      </c>
      <c r="C9" s="30">
        <f>C8-C4</f>
        <v>4640.3809893885627</v>
      </c>
      <c r="E9" s="31"/>
      <c r="F9" s="1">
        <v>8</v>
      </c>
      <c r="G9" s="30">
        <f t="shared" si="2"/>
        <v>257.30074416171698</v>
      </c>
      <c r="H9" s="30">
        <f t="shared" si="0"/>
        <v>10206.73735477714</v>
      </c>
      <c r="I9" s="30">
        <f t="shared" si="1"/>
        <v>10464.038098938858</v>
      </c>
    </row>
    <row r="10" spans="1:17" x14ac:dyDescent="0.3">
      <c r="F10" s="1">
        <v>9</v>
      </c>
      <c r="G10" s="30">
        <f t="shared" si="2"/>
        <v>172.24459953857416</v>
      </c>
      <c r="H10" s="30">
        <f t="shared" si="0"/>
        <v>10291.793499400283</v>
      </c>
      <c r="I10" s="30">
        <f t="shared" si="1"/>
        <v>10464.038098938856</v>
      </c>
    </row>
    <row r="11" spans="1:17" x14ac:dyDescent="0.3">
      <c r="C11" s="29"/>
      <c r="F11" s="1">
        <v>10</v>
      </c>
      <c r="G11" s="30">
        <f t="shared" si="2"/>
        <v>86.47965371023848</v>
      </c>
      <c r="H11" s="30">
        <f t="shared" si="0"/>
        <v>10377.558445228618</v>
      </c>
      <c r="I11" s="30">
        <f t="shared" si="1"/>
        <v>10464.038098938858</v>
      </c>
      <c r="O11" t="s">
        <v>252</v>
      </c>
    </row>
    <row r="12" spans="1:17" x14ac:dyDescent="0.3">
      <c r="F12" s="1"/>
      <c r="G12" s="30">
        <f>SUM(G2:G11)</f>
        <v>4640.3809893885682</v>
      </c>
      <c r="H12" s="30">
        <f>SUM(H2:H11)</f>
        <v>100000</v>
      </c>
      <c r="I12" s="30">
        <f>SUM(I2:I11)</f>
        <v>104640.38098938856</v>
      </c>
    </row>
    <row r="13" spans="1:17" x14ac:dyDescent="0.3">
      <c r="G13" s="29"/>
    </row>
    <row r="14" spans="1:17" x14ac:dyDescent="0.3">
      <c r="H14" s="40"/>
    </row>
    <row r="15" spans="1:17" x14ac:dyDescent="0.3">
      <c r="D15" s="83" t="s">
        <v>153</v>
      </c>
      <c r="E15" s="83"/>
      <c r="G15" s="89">
        <f>PMT(C3,C5,C4)</f>
        <v>-16274.539488251161</v>
      </c>
    </row>
    <row r="16" spans="1:17" x14ac:dyDescent="0.3">
      <c r="D16" s="29">
        <f>C4-H2</f>
        <v>90369.295234394478</v>
      </c>
      <c r="E16" s="28">
        <f>PMT(C3/12,9,-D16)</f>
        <v>10464.038098938856</v>
      </c>
    </row>
    <row r="17" spans="4:5" x14ac:dyDescent="0.3">
      <c r="D17" s="29">
        <f>D16-H3</f>
        <v>80658.334595742243</v>
      </c>
      <c r="E17" s="28">
        <f>PMT(C3/12,8,-D17)</f>
        <v>10464.038098938858</v>
      </c>
    </row>
  </sheetData>
  <mergeCells count="4">
    <mergeCell ref="D15:E15"/>
    <mergeCell ref="B1:C1"/>
    <mergeCell ref="K1:L1"/>
    <mergeCell ref="N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150" zoomScaleNormal="150" workbookViewId="0">
      <selection activeCell="L7" sqref="L7"/>
    </sheetView>
  </sheetViews>
  <sheetFormatPr defaultRowHeight="16.5" x14ac:dyDescent="0.3"/>
  <cols>
    <col min="1" max="1" width="7.75" customWidth="1"/>
    <col min="2" max="2" width="27.625" customWidth="1"/>
    <col min="3" max="3" width="11.25" style="10" customWidth="1"/>
    <col min="4" max="4" width="9.625" style="8" customWidth="1"/>
    <col min="5" max="5" width="15.625" style="10" customWidth="1"/>
    <col min="6" max="6" width="12.5" style="10" customWidth="1"/>
    <col min="7" max="7" width="5.375" style="10" customWidth="1"/>
    <col min="8" max="8" width="4.625" style="10" customWidth="1"/>
    <col min="9" max="9" width="9.75" style="10" customWidth="1"/>
    <col min="11" max="11" width="17.625" customWidth="1"/>
    <col min="12" max="12" width="11.5" customWidth="1"/>
  </cols>
  <sheetData>
    <row r="1" spans="1:15" ht="18.75" x14ac:dyDescent="0.3">
      <c r="A1" s="11" t="s">
        <v>201</v>
      </c>
      <c r="B1" s="11" t="s">
        <v>34</v>
      </c>
      <c r="C1" s="11" t="s">
        <v>35</v>
      </c>
      <c r="D1" s="12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</row>
    <row r="2" spans="1:15" ht="18.75" x14ac:dyDescent="0.3">
      <c r="A2" s="6">
        <v>1</v>
      </c>
      <c r="B2" s="6" t="s">
        <v>42</v>
      </c>
      <c r="C2" s="9">
        <v>26</v>
      </c>
      <c r="D2" s="7">
        <v>2370</v>
      </c>
      <c r="E2" s="9">
        <v>2290</v>
      </c>
      <c r="F2" s="9">
        <v>7150</v>
      </c>
      <c r="G2" s="9">
        <v>559</v>
      </c>
      <c r="H2" s="9">
        <v>72</v>
      </c>
      <c r="I2" s="9">
        <v>6519</v>
      </c>
    </row>
    <row r="3" spans="1:15" ht="18.75" x14ac:dyDescent="0.3">
      <c r="A3" s="6">
        <v>2</v>
      </c>
      <c r="B3" s="6" t="s">
        <v>43</v>
      </c>
      <c r="C3" s="9">
        <v>15</v>
      </c>
      <c r="D3" s="7">
        <v>1315.3846153846155</v>
      </c>
      <c r="E3" s="9">
        <v>1275</v>
      </c>
      <c r="F3" s="9">
        <v>3975</v>
      </c>
      <c r="G3" s="9">
        <v>311</v>
      </c>
      <c r="H3" s="9">
        <v>40</v>
      </c>
      <c r="I3" s="9">
        <v>3624</v>
      </c>
    </row>
    <row r="4" spans="1:15" ht="18.75" x14ac:dyDescent="0.3">
      <c r="A4" s="6">
        <v>3</v>
      </c>
      <c r="B4" s="6" t="s">
        <v>44</v>
      </c>
      <c r="C4" s="9">
        <v>26</v>
      </c>
      <c r="D4" s="7">
        <v>2370</v>
      </c>
      <c r="E4" s="9">
        <v>2290</v>
      </c>
      <c r="F4" s="9">
        <v>7150</v>
      </c>
      <c r="G4" s="9">
        <v>559</v>
      </c>
      <c r="H4" s="9">
        <v>72</v>
      </c>
      <c r="I4" s="9">
        <v>6519</v>
      </c>
    </row>
    <row r="5" spans="1:15" ht="18.75" x14ac:dyDescent="0.3">
      <c r="A5" s="6">
        <v>4</v>
      </c>
      <c r="B5" s="6" t="s">
        <v>45</v>
      </c>
      <c r="C5" s="9">
        <v>26</v>
      </c>
      <c r="D5" s="7">
        <v>2370</v>
      </c>
      <c r="E5" s="9">
        <v>2290</v>
      </c>
      <c r="F5" s="9">
        <v>7150</v>
      </c>
      <c r="G5" s="9">
        <v>559</v>
      </c>
      <c r="H5" s="9">
        <v>72</v>
      </c>
      <c r="I5" s="9">
        <v>6519</v>
      </c>
    </row>
    <row r="6" spans="1:15" ht="18.75" x14ac:dyDescent="0.3">
      <c r="A6" s="6">
        <v>5</v>
      </c>
      <c r="B6" s="6" t="s">
        <v>46</v>
      </c>
      <c r="C6" s="9">
        <v>3</v>
      </c>
      <c r="D6" s="7">
        <v>273.46153846153845</v>
      </c>
      <c r="E6" s="9">
        <v>264.23076923076923</v>
      </c>
      <c r="F6" s="9">
        <v>825</v>
      </c>
      <c r="G6" s="9">
        <v>65</v>
      </c>
      <c r="H6" s="9">
        <v>8</v>
      </c>
      <c r="I6" s="9">
        <v>752</v>
      </c>
    </row>
    <row r="7" spans="1:15" ht="18.75" x14ac:dyDescent="0.3">
      <c r="A7" s="6">
        <v>6</v>
      </c>
      <c r="B7" s="6" t="s">
        <v>47</v>
      </c>
      <c r="C7" s="9">
        <v>2</v>
      </c>
      <c r="D7" s="7">
        <v>182.30769230769232</v>
      </c>
      <c r="E7" s="9">
        <v>176.15384615384616</v>
      </c>
      <c r="F7" s="9">
        <v>550</v>
      </c>
      <c r="G7" s="9">
        <v>43</v>
      </c>
      <c r="H7" s="9">
        <v>6</v>
      </c>
      <c r="I7" s="9">
        <v>501</v>
      </c>
    </row>
    <row r="8" spans="1:15" ht="18.75" x14ac:dyDescent="0.3">
      <c r="A8" s="6">
        <v>7</v>
      </c>
      <c r="B8" s="6" t="s">
        <v>48</v>
      </c>
      <c r="C8" s="9">
        <v>22</v>
      </c>
      <c r="D8" s="7">
        <v>2005.3846153846155</v>
      </c>
      <c r="E8" s="9">
        <v>1937.6923076923078</v>
      </c>
      <c r="F8" s="9">
        <v>6050</v>
      </c>
      <c r="G8" s="9">
        <v>473</v>
      </c>
      <c r="H8" s="9">
        <v>61</v>
      </c>
      <c r="I8" s="9">
        <v>5516</v>
      </c>
    </row>
    <row r="9" spans="1:15" ht="18.75" x14ac:dyDescent="0.3">
      <c r="A9" s="6">
        <v>8</v>
      </c>
      <c r="B9" s="6" t="s">
        <v>49</v>
      </c>
      <c r="C9" s="9">
        <v>22</v>
      </c>
      <c r="D9" s="7">
        <v>2005.3846153846155</v>
      </c>
      <c r="E9" s="9">
        <v>1937.6923076923078</v>
      </c>
      <c r="F9" s="9">
        <v>6050</v>
      </c>
      <c r="G9" s="9">
        <v>473</v>
      </c>
      <c r="H9" s="9">
        <v>61</v>
      </c>
      <c r="I9" s="9">
        <v>5516</v>
      </c>
    </row>
    <row r="10" spans="1:15" ht="18.75" x14ac:dyDescent="0.3">
      <c r="A10" s="6">
        <v>9</v>
      </c>
      <c r="B10" s="6" t="s">
        <v>50</v>
      </c>
      <c r="C10" s="9">
        <v>26</v>
      </c>
      <c r="D10" s="7">
        <v>2370</v>
      </c>
      <c r="E10" s="9">
        <v>2290</v>
      </c>
      <c r="F10" s="9">
        <v>7150</v>
      </c>
      <c r="G10" s="9">
        <v>559</v>
      </c>
      <c r="H10" s="9">
        <v>72</v>
      </c>
      <c r="I10" s="9">
        <v>6519</v>
      </c>
    </row>
    <row r="11" spans="1:15" ht="18.75" x14ac:dyDescent="0.3">
      <c r="A11" s="6">
        <v>10</v>
      </c>
      <c r="B11" s="6" t="s">
        <v>51</v>
      </c>
      <c r="C11" s="9">
        <v>26</v>
      </c>
      <c r="D11" s="7">
        <v>2370</v>
      </c>
      <c r="E11" s="9">
        <v>2290</v>
      </c>
      <c r="F11" s="9">
        <v>7150</v>
      </c>
      <c r="G11" s="9">
        <v>559</v>
      </c>
      <c r="H11" s="9">
        <v>72</v>
      </c>
      <c r="I11" s="9">
        <v>6519</v>
      </c>
    </row>
    <row r="12" spans="1:15" ht="18.75" x14ac:dyDescent="0.3">
      <c r="A12" s="6">
        <v>11</v>
      </c>
      <c r="B12" s="6" t="s">
        <v>52</v>
      </c>
      <c r="C12" s="9">
        <v>26</v>
      </c>
      <c r="D12" s="7">
        <v>2370</v>
      </c>
      <c r="E12" s="9">
        <v>2290</v>
      </c>
      <c r="F12" s="9">
        <v>7150</v>
      </c>
      <c r="G12" s="9">
        <v>559</v>
      </c>
      <c r="H12" s="9">
        <v>72</v>
      </c>
      <c r="I12" s="9">
        <v>6519</v>
      </c>
    </row>
    <row r="13" spans="1:15" ht="18.75" x14ac:dyDescent="0.3">
      <c r="A13" s="6">
        <v>12</v>
      </c>
      <c r="B13" s="6" t="s">
        <v>53</v>
      </c>
      <c r="C13" s="9">
        <v>24</v>
      </c>
      <c r="D13" s="7">
        <v>2104.6153846153848</v>
      </c>
      <c r="E13" s="9">
        <v>2040</v>
      </c>
      <c r="F13" s="9">
        <v>6360</v>
      </c>
      <c r="G13" s="9">
        <v>497</v>
      </c>
      <c r="H13" s="9">
        <v>64</v>
      </c>
      <c r="I13" s="9">
        <v>5799</v>
      </c>
    </row>
    <row r="14" spans="1:15" ht="18.75" x14ac:dyDescent="0.3">
      <c r="A14" s="6">
        <v>13</v>
      </c>
      <c r="B14" s="6" t="s">
        <v>54</v>
      </c>
      <c r="C14" s="9">
        <v>26</v>
      </c>
      <c r="D14" s="7">
        <v>2370</v>
      </c>
      <c r="E14" s="9">
        <v>2290</v>
      </c>
      <c r="F14" s="9">
        <v>7150</v>
      </c>
      <c r="G14" s="9">
        <v>559</v>
      </c>
      <c r="H14" s="9">
        <v>72</v>
      </c>
      <c r="I14" s="9">
        <v>6519</v>
      </c>
    </row>
    <row r="15" spans="1:15" ht="18.75" x14ac:dyDescent="0.3">
      <c r="A15" s="6">
        <v>14</v>
      </c>
      <c r="B15" s="6" t="s">
        <v>55</v>
      </c>
      <c r="C15" s="9">
        <v>25</v>
      </c>
      <c r="D15" s="7">
        <v>2278.8461538461538</v>
      </c>
      <c r="E15" s="9">
        <v>2201.9230769230771</v>
      </c>
      <c r="F15" s="9">
        <v>6875</v>
      </c>
      <c r="G15" s="9">
        <v>538</v>
      </c>
      <c r="H15" s="9">
        <v>69</v>
      </c>
      <c r="I15" s="9">
        <v>6268</v>
      </c>
      <c r="L15" s="13" t="s">
        <v>202</v>
      </c>
      <c r="M15" s="13" t="s">
        <v>203</v>
      </c>
      <c r="N15" s="13" t="s">
        <v>205</v>
      </c>
      <c r="O15" s="13" t="s">
        <v>204</v>
      </c>
    </row>
    <row r="16" spans="1:15" ht="18.75" x14ac:dyDescent="0.3">
      <c r="A16" s="6">
        <v>15</v>
      </c>
      <c r="B16" s="6" t="s">
        <v>56</v>
      </c>
      <c r="C16" s="9">
        <v>17</v>
      </c>
      <c r="D16" s="7">
        <v>1549.6153846153848</v>
      </c>
      <c r="E16" s="9">
        <v>1497.3076923076924</v>
      </c>
      <c r="F16" s="9">
        <v>4675</v>
      </c>
      <c r="G16" s="9">
        <v>366</v>
      </c>
      <c r="H16" s="9">
        <v>47</v>
      </c>
      <c r="I16" s="9">
        <v>4262</v>
      </c>
      <c r="L16" t="s">
        <v>42</v>
      </c>
      <c r="M16">
        <f>LOOKUP(L16,B1:B21,F1:F21)</f>
        <v>7150</v>
      </c>
      <c r="N16">
        <f>LOOKUP(L16,B1:B21,I1:I21)</f>
        <v>6519</v>
      </c>
      <c r="O16">
        <f>LOOKUP(L16,B1:B21,A1:A21)</f>
        <v>1</v>
      </c>
    </row>
    <row r="17" spans="1:9" ht="18.75" x14ac:dyDescent="0.3">
      <c r="A17" s="6">
        <v>16</v>
      </c>
      <c r="B17" s="6" t="s">
        <v>57</v>
      </c>
      <c r="C17" s="9">
        <v>17</v>
      </c>
      <c r="D17" s="7">
        <v>1549.6153846153848</v>
      </c>
      <c r="E17" s="9">
        <v>1497.3076923076924</v>
      </c>
      <c r="F17" s="9">
        <v>4675</v>
      </c>
      <c r="G17" s="9">
        <v>366</v>
      </c>
      <c r="H17" s="9">
        <v>47</v>
      </c>
      <c r="I17" s="9">
        <v>4262</v>
      </c>
    </row>
    <row r="18" spans="1:9" ht="18.75" x14ac:dyDescent="0.3">
      <c r="A18" s="6">
        <v>17</v>
      </c>
      <c r="B18" s="6" t="s">
        <v>58</v>
      </c>
      <c r="C18" s="9">
        <v>3</v>
      </c>
      <c r="D18" s="7">
        <v>263.07692307692309</v>
      </c>
      <c r="E18" s="9">
        <v>255</v>
      </c>
      <c r="F18" s="9">
        <v>795</v>
      </c>
      <c r="G18" s="9">
        <v>62</v>
      </c>
      <c r="H18" s="9">
        <v>8</v>
      </c>
      <c r="I18" s="9">
        <v>725</v>
      </c>
    </row>
    <row r="19" spans="1:9" ht="18.75" x14ac:dyDescent="0.3">
      <c r="A19" s="6">
        <v>18</v>
      </c>
      <c r="B19" s="6" t="s">
        <v>59</v>
      </c>
      <c r="C19" s="9">
        <v>19</v>
      </c>
      <c r="D19" s="7">
        <v>1731.9230769230771</v>
      </c>
      <c r="E19" s="9">
        <v>1673.4615384615386</v>
      </c>
      <c r="F19" s="9">
        <v>5225</v>
      </c>
      <c r="G19" s="9">
        <v>409</v>
      </c>
      <c r="H19" s="9">
        <v>52</v>
      </c>
      <c r="I19" s="9">
        <v>4764</v>
      </c>
    </row>
    <row r="20" spans="1:9" ht="18.75" x14ac:dyDescent="0.3">
      <c r="A20" s="6">
        <v>19</v>
      </c>
      <c r="B20" s="6" t="s">
        <v>60</v>
      </c>
      <c r="C20" s="9">
        <v>26</v>
      </c>
      <c r="D20" s="7">
        <v>2370</v>
      </c>
      <c r="E20" s="9">
        <v>2290</v>
      </c>
      <c r="F20" s="9">
        <v>7150</v>
      </c>
      <c r="G20" s="9">
        <v>559</v>
      </c>
      <c r="H20" s="9">
        <v>72</v>
      </c>
      <c r="I20" s="9">
        <v>6519</v>
      </c>
    </row>
    <row r="21" spans="1:9" ht="18.75" x14ac:dyDescent="0.3">
      <c r="A21" s="6">
        <v>20</v>
      </c>
      <c r="B21" s="6" t="s">
        <v>61</v>
      </c>
      <c r="C21" s="9">
        <v>5</v>
      </c>
      <c r="D21" s="7">
        <v>455.76923076923083</v>
      </c>
      <c r="E21" s="9">
        <v>440.38461538461542</v>
      </c>
      <c r="F21" s="9">
        <v>1375</v>
      </c>
      <c r="G21" s="9">
        <v>108</v>
      </c>
      <c r="H21" s="9">
        <v>14</v>
      </c>
      <c r="I21" s="9">
        <v>1253</v>
      </c>
    </row>
  </sheetData>
  <dataValidations count="1">
    <dataValidation type="list" allowBlank="1" showInputMessage="1" showErrorMessage="1" sqref="L16">
      <formula1>$B$2:$B$21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200" zoomScaleNormal="200" workbookViewId="0">
      <selection activeCell="D14" sqref="A1:E18"/>
    </sheetView>
  </sheetViews>
  <sheetFormatPr defaultRowHeight="16.5" x14ac:dyDescent="0.3"/>
  <cols>
    <col min="1" max="1" width="11" style="19" customWidth="1"/>
    <col min="2" max="3" width="10.375" style="19" customWidth="1"/>
    <col min="4" max="4" width="12.625" style="19" customWidth="1"/>
    <col min="5" max="5" width="9.375" style="19" customWidth="1"/>
    <col min="7" max="7" width="10.625" customWidth="1"/>
    <col min="8" max="8" width="11.375" customWidth="1"/>
  </cols>
  <sheetData>
    <row r="1" spans="1:8" x14ac:dyDescent="0.3">
      <c r="A1" s="14" t="s">
        <v>62</v>
      </c>
      <c r="B1" s="15" t="s">
        <v>75</v>
      </c>
      <c r="C1" s="14" t="s">
        <v>63</v>
      </c>
      <c r="D1" s="14" t="s">
        <v>64</v>
      </c>
      <c r="E1" s="14" t="s">
        <v>65</v>
      </c>
    </row>
    <row r="2" spans="1:8" x14ac:dyDescent="0.3">
      <c r="A2" s="16">
        <v>5600001</v>
      </c>
      <c r="B2" s="17">
        <v>5000</v>
      </c>
      <c r="C2" s="18" t="s">
        <v>66</v>
      </c>
      <c r="D2" s="18" t="s">
        <v>67</v>
      </c>
      <c r="E2" s="18" t="s">
        <v>68</v>
      </c>
    </row>
    <row r="3" spans="1:8" x14ac:dyDescent="0.3">
      <c r="A3" s="16">
        <v>5600002</v>
      </c>
      <c r="B3" s="17">
        <v>14571</v>
      </c>
      <c r="C3" s="18" t="s">
        <v>69</v>
      </c>
      <c r="D3" s="18" t="s">
        <v>67</v>
      </c>
      <c r="E3" s="18" t="s">
        <v>70</v>
      </c>
    </row>
    <row r="4" spans="1:8" x14ac:dyDescent="0.3">
      <c r="A4" s="16">
        <v>5600003</v>
      </c>
      <c r="B4" s="17">
        <v>500</v>
      </c>
      <c r="C4" s="18" t="s">
        <v>71</v>
      </c>
      <c r="D4" s="18" t="s">
        <v>67</v>
      </c>
      <c r="E4" s="18" t="s">
        <v>68</v>
      </c>
    </row>
    <row r="5" spans="1:8" x14ac:dyDescent="0.3">
      <c r="A5" s="16">
        <v>5600004</v>
      </c>
      <c r="B5" s="17">
        <v>15000</v>
      </c>
      <c r="C5" s="18" t="s">
        <v>69</v>
      </c>
      <c r="D5" s="18" t="s">
        <v>67</v>
      </c>
      <c r="E5" s="18" t="s">
        <v>68</v>
      </c>
    </row>
    <row r="6" spans="1:8" x14ac:dyDescent="0.3">
      <c r="A6" s="16">
        <v>5600005</v>
      </c>
      <c r="B6" s="17">
        <v>4623</v>
      </c>
      <c r="C6" s="18" t="s">
        <v>72</v>
      </c>
      <c r="D6" s="18" t="s">
        <v>73</v>
      </c>
      <c r="E6" s="18" t="s">
        <v>68</v>
      </c>
    </row>
    <row r="7" spans="1:8" x14ac:dyDescent="0.3">
      <c r="A7" s="16">
        <v>5600006</v>
      </c>
      <c r="B7" s="17">
        <v>8721</v>
      </c>
      <c r="C7" s="18" t="s">
        <v>72</v>
      </c>
      <c r="D7" s="18" t="s">
        <v>74</v>
      </c>
      <c r="E7" s="18" t="s">
        <v>70</v>
      </c>
    </row>
    <row r="8" spans="1:8" x14ac:dyDescent="0.3">
      <c r="A8" s="16">
        <v>5600007</v>
      </c>
      <c r="B8" s="17">
        <v>15276</v>
      </c>
      <c r="C8" s="18" t="s">
        <v>72</v>
      </c>
      <c r="D8" s="18" t="s">
        <v>73</v>
      </c>
      <c r="E8" s="18" t="s">
        <v>68</v>
      </c>
    </row>
    <row r="9" spans="1:8" x14ac:dyDescent="0.3">
      <c r="A9" s="16">
        <v>5600008</v>
      </c>
      <c r="B9" s="17">
        <v>5000</v>
      </c>
      <c r="C9" s="18" t="s">
        <v>72</v>
      </c>
      <c r="D9" s="18" t="s">
        <v>74</v>
      </c>
      <c r="E9" s="18" t="s">
        <v>68</v>
      </c>
      <c r="G9" s="69" t="s">
        <v>206</v>
      </c>
      <c r="H9" s="69"/>
    </row>
    <row r="10" spans="1:8" x14ac:dyDescent="0.3">
      <c r="A10" s="16">
        <v>5600009</v>
      </c>
      <c r="B10" s="17">
        <v>15759</v>
      </c>
      <c r="C10" s="18" t="s">
        <v>69</v>
      </c>
      <c r="D10" s="18" t="s">
        <v>74</v>
      </c>
      <c r="E10" s="18" t="s">
        <v>68</v>
      </c>
      <c r="G10" s="14" t="s">
        <v>62</v>
      </c>
      <c r="H10" s="54">
        <v>5600013</v>
      </c>
    </row>
    <row r="11" spans="1:8" x14ac:dyDescent="0.3">
      <c r="A11" s="16">
        <v>5600010</v>
      </c>
      <c r="B11" s="17">
        <v>12000</v>
      </c>
      <c r="C11" s="18" t="s">
        <v>69</v>
      </c>
      <c r="D11" s="18" t="s">
        <v>74</v>
      </c>
      <c r="E11" s="18" t="s">
        <v>68</v>
      </c>
      <c r="G11" s="14" t="s">
        <v>75</v>
      </c>
      <c r="H11" s="54">
        <f>VLOOKUP(H10,LIST1,2,0)</f>
        <v>3171</v>
      </c>
    </row>
    <row r="12" spans="1:8" x14ac:dyDescent="0.3">
      <c r="A12" s="16">
        <v>5600011</v>
      </c>
      <c r="B12" s="17">
        <v>7177</v>
      </c>
      <c r="C12" s="18" t="s">
        <v>72</v>
      </c>
      <c r="D12" s="18" t="s">
        <v>73</v>
      </c>
      <c r="E12" s="18" t="s">
        <v>68</v>
      </c>
      <c r="G12" s="14" t="s">
        <v>63</v>
      </c>
      <c r="H12" s="54" t="str">
        <f>VLOOKUP(H10,LIST1,3,0)</f>
        <v>Checking</v>
      </c>
    </row>
    <row r="13" spans="1:8" x14ac:dyDescent="0.3">
      <c r="A13" s="16">
        <v>5600012</v>
      </c>
      <c r="B13" s="17">
        <v>6837</v>
      </c>
      <c r="C13" s="18" t="s">
        <v>72</v>
      </c>
      <c r="D13" s="18" t="s">
        <v>74</v>
      </c>
      <c r="E13" s="18" t="s">
        <v>68</v>
      </c>
      <c r="G13" s="14" t="s">
        <v>64</v>
      </c>
      <c r="H13" s="54" t="str">
        <f>VLOOKUP(H10,LIST1,4,)</f>
        <v>Westside</v>
      </c>
    </row>
    <row r="14" spans="1:8" x14ac:dyDescent="0.3">
      <c r="A14" s="16">
        <v>5600013</v>
      </c>
      <c r="B14" s="17">
        <v>3171</v>
      </c>
      <c r="C14" s="18" t="s">
        <v>71</v>
      </c>
      <c r="D14" s="18" t="s">
        <v>74</v>
      </c>
      <c r="E14" s="18" t="s">
        <v>68</v>
      </c>
      <c r="G14" s="14" t="s">
        <v>65</v>
      </c>
      <c r="H14" s="54" t="str">
        <f>VLOOKUP(H10,LIST1,5,)</f>
        <v>Existing</v>
      </c>
    </row>
    <row r="15" spans="1:8" x14ac:dyDescent="0.3">
      <c r="A15" s="16">
        <v>5600014</v>
      </c>
      <c r="B15" s="17">
        <v>50000</v>
      </c>
      <c r="C15" s="18" t="s">
        <v>72</v>
      </c>
      <c r="D15" s="18" t="s">
        <v>67</v>
      </c>
      <c r="E15" s="18" t="s">
        <v>68</v>
      </c>
    </row>
    <row r="16" spans="1:8" x14ac:dyDescent="0.3">
      <c r="A16" s="16">
        <v>5600015</v>
      </c>
      <c r="B16" s="17">
        <v>4690</v>
      </c>
      <c r="C16" s="18" t="s">
        <v>71</v>
      </c>
      <c r="D16" s="18" t="s">
        <v>73</v>
      </c>
      <c r="E16" s="18" t="s">
        <v>70</v>
      </c>
    </row>
    <row r="17" spans="1:5" x14ac:dyDescent="0.3">
      <c r="A17" s="16">
        <v>5600016</v>
      </c>
      <c r="B17" s="17">
        <v>12438</v>
      </c>
      <c r="C17" s="18" t="s">
        <v>71</v>
      </c>
      <c r="D17" s="18" t="s">
        <v>67</v>
      </c>
      <c r="E17" s="18" t="s">
        <v>68</v>
      </c>
    </row>
    <row r="18" spans="1:5" x14ac:dyDescent="0.3">
      <c r="A18" s="16">
        <v>5600017</v>
      </c>
      <c r="B18" s="17">
        <v>5000</v>
      </c>
      <c r="C18" s="18" t="s">
        <v>71</v>
      </c>
      <c r="D18" s="18" t="s">
        <v>73</v>
      </c>
      <c r="E18" s="18" t="s">
        <v>68</v>
      </c>
    </row>
  </sheetData>
  <mergeCells count="1">
    <mergeCell ref="G9:H9"/>
  </mergeCells>
  <dataValidations count="1">
    <dataValidation type="list" allowBlank="1" showInputMessage="1" showErrorMessage="1" sqref="H10">
      <formula1>$A:$A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200" zoomScaleNormal="200" workbookViewId="0">
      <selection activeCell="I11" sqref="I11"/>
    </sheetView>
  </sheetViews>
  <sheetFormatPr defaultRowHeight="16.5" x14ac:dyDescent="0.3"/>
  <cols>
    <col min="1" max="1" width="10.75" customWidth="1"/>
    <col min="2" max="2" width="8.375" customWidth="1"/>
    <col min="3" max="3" width="10.75" customWidth="1"/>
    <col min="4" max="4" width="9.25" customWidth="1"/>
    <col min="5" max="5" width="8.875" customWidth="1"/>
    <col min="6" max="6" width="12.75" customWidth="1"/>
    <col min="7" max="7" width="9.625" customWidth="1"/>
    <col min="8" max="8" width="12.75" customWidth="1"/>
    <col min="9" max="9" width="10.75" customWidth="1"/>
    <col min="10" max="11" width="9.25" customWidth="1"/>
    <col min="12" max="12" width="12.75" customWidth="1"/>
    <col min="13" max="13" width="9.625" customWidth="1"/>
    <col min="14" max="14" width="9.25" customWidth="1"/>
    <col min="15" max="15" width="8.375" customWidth="1"/>
    <col min="16" max="16" width="12.75" customWidth="1"/>
    <col min="17" max="17" width="8.875" customWidth="1"/>
    <col min="18" max="18" width="12.75" customWidth="1"/>
  </cols>
  <sheetData>
    <row r="1" spans="1:18" x14ac:dyDescent="0.3">
      <c r="A1" s="14" t="s">
        <v>62</v>
      </c>
      <c r="B1" s="16">
        <v>5600001</v>
      </c>
      <c r="C1" s="16">
        <v>5600002</v>
      </c>
      <c r="D1" s="16">
        <v>5600003</v>
      </c>
      <c r="E1" s="16">
        <v>5600004</v>
      </c>
      <c r="F1" s="16">
        <v>5600005</v>
      </c>
      <c r="G1" s="16">
        <v>5600006</v>
      </c>
      <c r="H1" s="16">
        <v>5600007</v>
      </c>
      <c r="I1" s="16">
        <v>5600008</v>
      </c>
      <c r="J1" s="16">
        <v>5600009</v>
      </c>
      <c r="K1" s="16">
        <v>5600010</v>
      </c>
      <c r="L1" s="16">
        <v>5600011</v>
      </c>
      <c r="M1" s="16">
        <v>5600012</v>
      </c>
      <c r="N1" s="16">
        <v>5600013</v>
      </c>
      <c r="O1" s="16">
        <v>5600014</v>
      </c>
      <c r="P1" s="16">
        <v>5600015</v>
      </c>
      <c r="Q1" s="16">
        <v>5600016</v>
      </c>
      <c r="R1" s="16">
        <v>5600017</v>
      </c>
    </row>
    <row r="2" spans="1:18" x14ac:dyDescent="0.3">
      <c r="A2" s="15" t="s">
        <v>75</v>
      </c>
      <c r="B2" s="17">
        <v>5000</v>
      </c>
      <c r="C2" s="17">
        <v>14571</v>
      </c>
      <c r="D2" s="17">
        <v>500</v>
      </c>
      <c r="E2" s="17">
        <v>15000</v>
      </c>
      <c r="F2" s="17">
        <v>4623</v>
      </c>
      <c r="G2" s="17">
        <v>8721</v>
      </c>
      <c r="H2" s="17">
        <v>15276</v>
      </c>
      <c r="I2" s="17">
        <v>5000</v>
      </c>
      <c r="J2" s="17">
        <v>15759</v>
      </c>
      <c r="K2" s="17">
        <v>12000</v>
      </c>
      <c r="L2" s="17">
        <v>7177</v>
      </c>
      <c r="M2" s="17">
        <v>6837</v>
      </c>
      <c r="N2" s="17">
        <v>3171</v>
      </c>
      <c r="O2" s="17">
        <v>50000</v>
      </c>
      <c r="P2" s="17">
        <v>4690</v>
      </c>
      <c r="Q2" s="17">
        <v>12438</v>
      </c>
      <c r="R2" s="17">
        <v>5000</v>
      </c>
    </row>
    <row r="3" spans="1:18" x14ac:dyDescent="0.3">
      <c r="A3" s="14" t="s">
        <v>63</v>
      </c>
      <c r="B3" s="18" t="s">
        <v>66</v>
      </c>
      <c r="C3" s="18" t="s">
        <v>69</v>
      </c>
      <c r="D3" s="18" t="s">
        <v>71</v>
      </c>
      <c r="E3" s="18" t="s">
        <v>69</v>
      </c>
      <c r="F3" s="18" t="s">
        <v>72</v>
      </c>
      <c r="G3" s="18" t="s">
        <v>72</v>
      </c>
      <c r="H3" s="18" t="s">
        <v>72</v>
      </c>
      <c r="I3" s="18" t="s">
        <v>72</v>
      </c>
      <c r="J3" s="18" t="s">
        <v>69</v>
      </c>
      <c r="K3" s="18" t="s">
        <v>69</v>
      </c>
      <c r="L3" s="18" t="s">
        <v>72</v>
      </c>
      <c r="M3" s="18" t="s">
        <v>72</v>
      </c>
      <c r="N3" s="18" t="s">
        <v>71</v>
      </c>
      <c r="O3" s="18" t="s">
        <v>72</v>
      </c>
      <c r="P3" s="18" t="s">
        <v>71</v>
      </c>
      <c r="Q3" s="18" t="s">
        <v>71</v>
      </c>
      <c r="R3" s="18" t="s">
        <v>71</v>
      </c>
    </row>
    <row r="4" spans="1:18" x14ac:dyDescent="0.3">
      <c r="A4" s="14" t="s">
        <v>64</v>
      </c>
      <c r="B4" s="18" t="s">
        <v>67</v>
      </c>
      <c r="C4" s="18" t="s">
        <v>67</v>
      </c>
      <c r="D4" s="18" t="s">
        <v>67</v>
      </c>
      <c r="E4" s="18" t="s">
        <v>67</v>
      </c>
      <c r="F4" s="18" t="s">
        <v>73</v>
      </c>
      <c r="G4" s="18" t="s">
        <v>74</v>
      </c>
      <c r="H4" s="18" t="s">
        <v>73</v>
      </c>
      <c r="I4" s="18" t="s">
        <v>74</v>
      </c>
      <c r="J4" s="18" t="s">
        <v>74</v>
      </c>
      <c r="K4" s="18" t="s">
        <v>74</v>
      </c>
      <c r="L4" s="18" t="s">
        <v>73</v>
      </c>
      <c r="M4" s="18" t="s">
        <v>74</v>
      </c>
      <c r="N4" s="18" t="s">
        <v>74</v>
      </c>
      <c r="O4" s="18" t="s">
        <v>67</v>
      </c>
      <c r="P4" s="18" t="s">
        <v>73</v>
      </c>
      <c r="Q4" s="18" t="s">
        <v>67</v>
      </c>
      <c r="R4" s="18" t="s">
        <v>73</v>
      </c>
    </row>
    <row r="5" spans="1:18" x14ac:dyDescent="0.3">
      <c r="A5" s="14" t="s">
        <v>65</v>
      </c>
      <c r="B5" s="18" t="s">
        <v>68</v>
      </c>
      <c r="C5" s="18" t="s">
        <v>70</v>
      </c>
      <c r="D5" s="18" t="s">
        <v>68</v>
      </c>
      <c r="E5" s="18" t="s">
        <v>68</v>
      </c>
      <c r="F5" s="18" t="s">
        <v>68</v>
      </c>
      <c r="G5" s="18" t="s">
        <v>70</v>
      </c>
      <c r="H5" s="18" t="s">
        <v>68</v>
      </c>
      <c r="I5" s="18" t="s">
        <v>68</v>
      </c>
      <c r="J5" s="18" t="s">
        <v>68</v>
      </c>
      <c r="K5" s="18" t="s">
        <v>68</v>
      </c>
      <c r="L5" s="18" t="s">
        <v>68</v>
      </c>
      <c r="M5" s="18" t="s">
        <v>68</v>
      </c>
      <c r="N5" s="18" t="s">
        <v>68</v>
      </c>
      <c r="O5" s="18" t="s">
        <v>68</v>
      </c>
      <c r="P5" s="18" t="s">
        <v>70</v>
      </c>
      <c r="Q5" s="18" t="s">
        <v>68</v>
      </c>
      <c r="R5" s="18" t="s">
        <v>68</v>
      </c>
    </row>
    <row r="8" spans="1:18" x14ac:dyDescent="0.3">
      <c r="C8" s="14" t="s">
        <v>62</v>
      </c>
      <c r="D8" s="15" t="s">
        <v>75</v>
      </c>
      <c r="E8" s="14" t="s">
        <v>63</v>
      </c>
      <c r="F8" s="14" t="s">
        <v>64</v>
      </c>
      <c r="G8" s="14" t="s">
        <v>65</v>
      </c>
      <c r="I8" s="14" t="s">
        <v>62</v>
      </c>
      <c r="J8" s="15" t="s">
        <v>75</v>
      </c>
      <c r="K8" s="14" t="s">
        <v>63</v>
      </c>
      <c r="L8" s="14" t="s">
        <v>64</v>
      </c>
      <c r="M8" s="14" t="s">
        <v>65</v>
      </c>
    </row>
    <row r="9" spans="1:18" x14ac:dyDescent="0.3">
      <c r="C9">
        <v>5600004</v>
      </c>
      <c r="D9">
        <f>HLOOKUP($C$9,1:5,COLUMN()-2,0)</f>
        <v>15000</v>
      </c>
      <c r="E9" t="str">
        <f>HLOOKUP($C$9,1:5,COLUMN()-2,0)</f>
        <v>CD</v>
      </c>
      <c r="F9" t="str">
        <f>HLOOKUP($C$9,1:5,COLUMN()-2,0)</f>
        <v>Central</v>
      </c>
      <c r="G9" t="str">
        <f t="shared" ref="G9" si="0">HLOOKUP($C$9,1:5,COLUMN()-2,0)</f>
        <v>Existing</v>
      </c>
      <c r="I9">
        <v>5600004</v>
      </c>
      <c r="J9">
        <f t="shared" ref="J9:J22" si="1">HLOOKUP(I9,LIST2,2,0)</f>
        <v>15000</v>
      </c>
      <c r="K9" t="str">
        <f t="shared" ref="K9:K22" si="2">HLOOKUP(I9,LIST2,3,0)</f>
        <v>CD</v>
      </c>
      <c r="L9" t="str">
        <f t="shared" ref="L9:L22" si="3">HLOOKUP(I9,LIST2,4,0)</f>
        <v>Central</v>
      </c>
      <c r="M9" t="str">
        <f t="shared" ref="M9:M22" si="4">HLOOKUP(I9,LIST2,5,0)</f>
        <v>Existing</v>
      </c>
    </row>
    <row r="10" spans="1:18" x14ac:dyDescent="0.3">
      <c r="I10">
        <v>5600001</v>
      </c>
      <c r="J10">
        <f t="shared" si="1"/>
        <v>5000</v>
      </c>
      <c r="K10" t="str">
        <f t="shared" si="2"/>
        <v>IRA</v>
      </c>
      <c r="L10" t="str">
        <f t="shared" si="3"/>
        <v>Central</v>
      </c>
      <c r="M10" t="str">
        <f t="shared" si="4"/>
        <v>Existing</v>
      </c>
    </row>
    <row r="11" spans="1:18" x14ac:dyDescent="0.3">
      <c r="D11">
        <f>COLUMN()</f>
        <v>4</v>
      </c>
      <c r="E11">
        <f>COLUMN()</f>
        <v>5</v>
      </c>
      <c r="F11">
        <f>COLUMN()</f>
        <v>6</v>
      </c>
      <c r="G11">
        <f>COLUMN()</f>
        <v>7</v>
      </c>
      <c r="I11">
        <v>5600010</v>
      </c>
      <c r="J11">
        <f t="shared" si="1"/>
        <v>12000</v>
      </c>
      <c r="K11" t="str">
        <f t="shared" si="2"/>
        <v>CD</v>
      </c>
      <c r="L11" t="str">
        <f t="shared" si="3"/>
        <v>Westside</v>
      </c>
      <c r="M11" t="str">
        <f t="shared" si="4"/>
        <v>Existing</v>
      </c>
    </row>
    <row r="12" spans="1:18" x14ac:dyDescent="0.3">
      <c r="I12">
        <v>5600007</v>
      </c>
      <c r="J12">
        <f t="shared" si="1"/>
        <v>15276</v>
      </c>
      <c r="K12" t="str">
        <f t="shared" si="2"/>
        <v>Savings</v>
      </c>
      <c r="L12" t="str">
        <f t="shared" si="3"/>
        <v>North County</v>
      </c>
      <c r="M12" t="str">
        <f t="shared" si="4"/>
        <v>Existing</v>
      </c>
    </row>
    <row r="13" spans="1:18" x14ac:dyDescent="0.3">
      <c r="I13">
        <v>5600008</v>
      </c>
      <c r="J13">
        <f t="shared" si="1"/>
        <v>5000</v>
      </c>
      <c r="K13" t="str">
        <f t="shared" si="2"/>
        <v>Savings</v>
      </c>
      <c r="L13" t="str">
        <f t="shared" si="3"/>
        <v>Westside</v>
      </c>
      <c r="M13" t="str">
        <f t="shared" si="4"/>
        <v>Existing</v>
      </c>
    </row>
    <row r="14" spans="1:18" x14ac:dyDescent="0.3">
      <c r="I14">
        <v>5600009</v>
      </c>
      <c r="J14">
        <f t="shared" si="1"/>
        <v>15759</v>
      </c>
      <c r="K14" t="str">
        <f t="shared" si="2"/>
        <v>CD</v>
      </c>
      <c r="L14" t="str">
        <f t="shared" si="3"/>
        <v>Westside</v>
      </c>
      <c r="M14" t="str">
        <f t="shared" si="4"/>
        <v>Existing</v>
      </c>
    </row>
    <row r="15" spans="1:18" x14ac:dyDescent="0.3">
      <c r="C15" s="69" t="s">
        <v>207</v>
      </c>
      <c r="D15" s="69"/>
      <c r="E15" s="69"/>
      <c r="F15" s="69"/>
      <c r="I15">
        <v>5600017</v>
      </c>
      <c r="J15">
        <f t="shared" si="1"/>
        <v>5000</v>
      </c>
      <c r="K15" t="str">
        <f t="shared" si="2"/>
        <v>Checking</v>
      </c>
      <c r="L15" t="str">
        <f t="shared" si="3"/>
        <v>North County</v>
      </c>
      <c r="M15" t="str">
        <f t="shared" si="4"/>
        <v>Existing</v>
      </c>
    </row>
    <row r="16" spans="1:18" x14ac:dyDescent="0.3">
      <c r="C16" s="69"/>
      <c r="D16" s="69"/>
      <c r="E16" s="69"/>
      <c r="F16" s="69"/>
      <c r="I16">
        <v>5600011</v>
      </c>
      <c r="J16">
        <f t="shared" si="1"/>
        <v>7177</v>
      </c>
      <c r="K16" t="str">
        <f t="shared" si="2"/>
        <v>Savings</v>
      </c>
      <c r="L16" t="str">
        <f t="shared" si="3"/>
        <v>North County</v>
      </c>
      <c r="M16" t="str">
        <f t="shared" si="4"/>
        <v>Existing</v>
      </c>
    </row>
    <row r="17" spans="9:13" x14ac:dyDescent="0.3">
      <c r="I17">
        <v>5600012</v>
      </c>
      <c r="J17">
        <f t="shared" si="1"/>
        <v>6837</v>
      </c>
      <c r="K17" t="str">
        <f t="shared" si="2"/>
        <v>Savings</v>
      </c>
      <c r="L17" t="str">
        <f t="shared" si="3"/>
        <v>Westside</v>
      </c>
      <c r="M17" t="str">
        <f t="shared" si="4"/>
        <v>Existing</v>
      </c>
    </row>
    <row r="18" spans="9:13" x14ac:dyDescent="0.3">
      <c r="I18">
        <v>5600013</v>
      </c>
      <c r="J18">
        <f t="shared" si="1"/>
        <v>3171</v>
      </c>
      <c r="K18" t="str">
        <f t="shared" si="2"/>
        <v>Checking</v>
      </c>
      <c r="L18" t="str">
        <f t="shared" si="3"/>
        <v>Westside</v>
      </c>
      <c r="M18" t="str">
        <f t="shared" si="4"/>
        <v>Existing</v>
      </c>
    </row>
    <row r="19" spans="9:13" x14ac:dyDescent="0.3">
      <c r="I19">
        <v>5600014</v>
      </c>
      <c r="J19">
        <f t="shared" si="1"/>
        <v>50000</v>
      </c>
      <c r="K19" t="str">
        <f t="shared" si="2"/>
        <v>Savings</v>
      </c>
      <c r="L19" t="str">
        <f t="shared" si="3"/>
        <v>Central</v>
      </c>
      <c r="M19" t="str">
        <f t="shared" si="4"/>
        <v>Existing</v>
      </c>
    </row>
    <row r="20" spans="9:13" x14ac:dyDescent="0.3">
      <c r="I20">
        <v>5600015</v>
      </c>
      <c r="J20">
        <f t="shared" si="1"/>
        <v>4690</v>
      </c>
      <c r="K20" t="str">
        <f t="shared" si="2"/>
        <v>Checking</v>
      </c>
      <c r="L20" t="str">
        <f t="shared" si="3"/>
        <v>North County</v>
      </c>
      <c r="M20" t="str">
        <f t="shared" si="4"/>
        <v>New</v>
      </c>
    </row>
    <row r="21" spans="9:13" x14ac:dyDescent="0.3">
      <c r="I21">
        <v>5600016</v>
      </c>
      <c r="J21">
        <f t="shared" si="1"/>
        <v>12438</v>
      </c>
      <c r="K21" t="str">
        <f t="shared" si="2"/>
        <v>Checking</v>
      </c>
      <c r="L21" t="str">
        <f t="shared" si="3"/>
        <v>Central</v>
      </c>
      <c r="M21" t="str">
        <f t="shared" si="4"/>
        <v>Existing</v>
      </c>
    </row>
    <row r="22" spans="9:13" x14ac:dyDescent="0.3">
      <c r="I22">
        <v>5600017</v>
      </c>
      <c r="J22">
        <f t="shared" si="1"/>
        <v>5000</v>
      </c>
      <c r="K22" t="str">
        <f t="shared" si="2"/>
        <v>Checking</v>
      </c>
      <c r="L22" t="str">
        <f t="shared" si="3"/>
        <v>North County</v>
      </c>
      <c r="M22" t="str">
        <f t="shared" si="4"/>
        <v>Existing</v>
      </c>
    </row>
  </sheetData>
  <mergeCells count="1">
    <mergeCell ref="C15:F16"/>
  </mergeCells>
  <dataValidations count="2">
    <dataValidation type="list" allowBlank="1" showInputMessage="1" showErrorMessage="1" sqref="C9">
      <formula1>$B$1:$R$1</formula1>
    </dataValidation>
    <dataValidation type="list" allowBlank="1" showInputMessage="1" showErrorMessage="1" sqref="I9:I22">
      <formula1>$1:$1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205" zoomScaleNormal="205" workbookViewId="0">
      <selection activeCell="G16" sqref="G16"/>
    </sheetView>
  </sheetViews>
  <sheetFormatPr defaultRowHeight="16.5" x14ac:dyDescent="0.3"/>
  <cols>
    <col min="1" max="1" width="13.75" customWidth="1"/>
    <col min="2" max="2" width="16.875" customWidth="1"/>
    <col min="3" max="3" width="11.25" customWidth="1"/>
    <col min="5" max="5" width="16.875" customWidth="1"/>
  </cols>
  <sheetData>
    <row r="1" spans="1:15" x14ac:dyDescent="0.3">
      <c r="A1" s="22" t="s">
        <v>76</v>
      </c>
      <c r="B1" s="22" t="s">
        <v>77</v>
      </c>
      <c r="C1" s="23" t="s">
        <v>78</v>
      </c>
      <c r="E1" s="1" t="s">
        <v>80</v>
      </c>
      <c r="F1">
        <f>SUMIF($B$2:$B$13,E1,$C$2:$C$13)</f>
        <v>104000</v>
      </c>
    </row>
    <row r="2" spans="1:15" x14ac:dyDescent="0.3">
      <c r="A2" s="1" t="s">
        <v>79</v>
      </c>
      <c r="B2" s="1" t="s">
        <v>80</v>
      </c>
      <c r="C2" s="21">
        <v>15000</v>
      </c>
      <c r="E2" s="1" t="s">
        <v>82</v>
      </c>
      <c r="F2">
        <f t="shared" ref="F2:F3" si="0">SUMIF($B$2:$B$13,E2,$C$2:$C$13)</f>
        <v>102000</v>
      </c>
    </row>
    <row r="3" spans="1:15" x14ac:dyDescent="0.3">
      <c r="A3" s="1" t="s">
        <v>81</v>
      </c>
      <c r="B3" s="1" t="s">
        <v>82</v>
      </c>
      <c r="C3" s="21">
        <v>15000</v>
      </c>
      <c r="E3" s="1" t="s">
        <v>84</v>
      </c>
      <c r="F3">
        <f t="shared" si="0"/>
        <v>49000</v>
      </c>
    </row>
    <row r="4" spans="1:15" x14ac:dyDescent="0.3">
      <c r="A4" s="1" t="s">
        <v>83</v>
      </c>
      <c r="B4" s="1" t="s">
        <v>84</v>
      </c>
      <c r="C4" s="21">
        <v>12000</v>
      </c>
    </row>
    <row r="5" spans="1:15" x14ac:dyDescent="0.3">
      <c r="A5" s="1" t="s">
        <v>85</v>
      </c>
      <c r="B5" s="1" t="s">
        <v>80</v>
      </c>
      <c r="C5" s="21">
        <v>12000</v>
      </c>
    </row>
    <row r="6" spans="1:15" x14ac:dyDescent="0.3">
      <c r="A6" s="1" t="s">
        <v>86</v>
      </c>
      <c r="B6" s="1" t="s">
        <v>80</v>
      </c>
      <c r="C6" s="21">
        <v>15000</v>
      </c>
      <c r="E6" s="70" t="s">
        <v>208</v>
      </c>
      <c r="F6" s="70"/>
    </row>
    <row r="7" spans="1:15" x14ac:dyDescent="0.3">
      <c r="A7" s="1" t="s">
        <v>87</v>
      </c>
      <c r="B7" s="1" t="s">
        <v>82</v>
      </c>
      <c r="C7" s="21">
        <v>12000</v>
      </c>
      <c r="E7" s="1" t="s">
        <v>80</v>
      </c>
      <c r="F7" s="1">
        <f>SUMIF($B$2:$B$15,E7,$C$2:$C$15)</f>
        <v>104000</v>
      </c>
    </row>
    <row r="8" spans="1:15" x14ac:dyDescent="0.3">
      <c r="A8" s="1" t="s">
        <v>88</v>
      </c>
      <c r="B8" s="1" t="s">
        <v>84</v>
      </c>
      <c r="C8" s="21">
        <v>12000</v>
      </c>
      <c r="E8" s="1" t="s">
        <v>82</v>
      </c>
      <c r="F8" s="1">
        <f t="shared" ref="F8:F10" si="1">SUMIF($B$2:$B$15,E8,$C$2:$C$15)</f>
        <v>102000</v>
      </c>
      <c r="I8" s="71" t="s">
        <v>212</v>
      </c>
      <c r="J8" s="71"/>
      <c r="K8" s="71"/>
      <c r="L8" s="71"/>
      <c r="M8" s="71"/>
      <c r="N8" s="71"/>
      <c r="O8" s="71"/>
    </row>
    <row r="9" spans="1:15" x14ac:dyDescent="0.3">
      <c r="A9" s="1" t="s">
        <v>89</v>
      </c>
      <c r="B9" s="1" t="s">
        <v>80</v>
      </c>
      <c r="C9" s="21">
        <v>15000</v>
      </c>
      <c r="E9" s="1" t="s">
        <v>84</v>
      </c>
      <c r="F9" s="1">
        <f t="shared" si="1"/>
        <v>49000</v>
      </c>
      <c r="I9" s="72" t="s">
        <v>213</v>
      </c>
      <c r="J9" s="72"/>
      <c r="K9" s="72"/>
      <c r="L9" s="72"/>
      <c r="M9" s="72"/>
      <c r="N9" s="72"/>
      <c r="O9" s="72"/>
    </row>
    <row r="10" spans="1:15" x14ac:dyDescent="0.3">
      <c r="A10" s="1" t="s">
        <v>90</v>
      </c>
      <c r="B10" s="1" t="s">
        <v>80</v>
      </c>
      <c r="C10" s="21">
        <v>12000</v>
      </c>
      <c r="E10" s="55" t="s">
        <v>210</v>
      </c>
      <c r="F10" s="1">
        <f t="shared" si="1"/>
        <v>70000</v>
      </c>
      <c r="I10" s="19"/>
      <c r="J10" s="19"/>
      <c r="K10" s="19"/>
      <c r="L10" s="19"/>
      <c r="M10" s="19"/>
      <c r="N10" s="19"/>
      <c r="O10" s="19"/>
    </row>
    <row r="11" spans="1:15" x14ac:dyDescent="0.3">
      <c r="A11" s="1" t="s">
        <v>91</v>
      </c>
      <c r="B11" s="1" t="s">
        <v>82</v>
      </c>
      <c r="C11" s="21">
        <v>75000</v>
      </c>
      <c r="I11" s="19"/>
      <c r="J11" s="19"/>
      <c r="K11" s="19"/>
      <c r="L11" s="19"/>
      <c r="M11" s="19"/>
      <c r="N11" s="19"/>
      <c r="O11" s="19"/>
    </row>
    <row r="12" spans="1:15" x14ac:dyDescent="0.3">
      <c r="A12" s="1" t="s">
        <v>92</v>
      </c>
      <c r="B12" s="1" t="s">
        <v>84</v>
      </c>
      <c r="C12" s="20">
        <v>25000</v>
      </c>
      <c r="I12" s="19"/>
      <c r="J12" s="19"/>
      <c r="K12" s="19"/>
      <c r="L12" s="19"/>
      <c r="M12" s="19"/>
      <c r="N12" s="19"/>
      <c r="O12" s="19"/>
    </row>
    <row r="13" spans="1:15" x14ac:dyDescent="0.3">
      <c r="A13" s="1" t="s">
        <v>93</v>
      </c>
      <c r="B13" s="1" t="s">
        <v>80</v>
      </c>
      <c r="C13" s="20">
        <v>35000</v>
      </c>
      <c r="I13" s="19"/>
      <c r="J13" s="19"/>
      <c r="K13" s="19"/>
      <c r="L13" s="19"/>
      <c r="M13" s="19"/>
      <c r="N13" s="19"/>
      <c r="O13" s="19"/>
    </row>
    <row r="14" spans="1:15" x14ac:dyDescent="0.3">
      <c r="A14" s="55" t="s">
        <v>209</v>
      </c>
      <c r="B14" s="55" t="s">
        <v>210</v>
      </c>
      <c r="C14" s="20">
        <v>35000</v>
      </c>
      <c r="I14" s="19"/>
      <c r="J14" s="19"/>
      <c r="K14" s="19"/>
      <c r="L14" s="19"/>
      <c r="M14" s="19"/>
      <c r="N14" s="19"/>
      <c r="O14" s="19"/>
    </row>
    <row r="15" spans="1:15" x14ac:dyDescent="0.3">
      <c r="A15" s="1" t="s">
        <v>211</v>
      </c>
      <c r="B15" s="55" t="s">
        <v>210</v>
      </c>
      <c r="C15" s="20">
        <v>35000</v>
      </c>
      <c r="I15" s="19"/>
      <c r="J15" s="19"/>
      <c r="K15" s="19"/>
      <c r="L15" s="19"/>
      <c r="M15" s="19"/>
      <c r="N15" s="19"/>
      <c r="O15" s="19"/>
    </row>
    <row r="16" spans="1:15" x14ac:dyDescent="0.3">
      <c r="I16" s="19"/>
      <c r="J16" s="19"/>
      <c r="K16" s="19"/>
      <c r="L16" s="19"/>
      <c r="M16" s="19"/>
      <c r="N16" s="19"/>
      <c r="O16" s="19"/>
    </row>
    <row r="17" spans="9:15" x14ac:dyDescent="0.3">
      <c r="I17" s="19"/>
      <c r="J17" s="19"/>
      <c r="K17" s="19"/>
      <c r="L17" s="19"/>
      <c r="M17" s="19"/>
      <c r="N17" s="19"/>
      <c r="O17" s="19"/>
    </row>
    <row r="18" spans="9:15" x14ac:dyDescent="0.3">
      <c r="I18" s="19"/>
      <c r="J18" s="19"/>
      <c r="K18" s="19"/>
      <c r="L18" s="19"/>
      <c r="M18" s="19"/>
      <c r="N18" s="19"/>
      <c r="O18" s="19"/>
    </row>
    <row r="19" spans="9:15" x14ac:dyDescent="0.3">
      <c r="I19" s="19"/>
      <c r="J19" s="19"/>
      <c r="K19" s="19"/>
      <c r="L19" s="19"/>
      <c r="M19" s="19"/>
      <c r="N19" s="19"/>
      <c r="O19" s="19"/>
    </row>
  </sheetData>
  <mergeCells count="3">
    <mergeCell ref="E6:F6"/>
    <mergeCell ref="I8:O8"/>
    <mergeCell ref="I9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200" zoomScaleNormal="200" workbookViewId="0">
      <selection activeCell="K19" sqref="K19"/>
    </sheetView>
  </sheetViews>
  <sheetFormatPr defaultRowHeight="16.5" x14ac:dyDescent="0.3"/>
  <cols>
    <col min="1" max="1" width="10.875" customWidth="1"/>
    <col min="2" max="2" width="13.875" customWidth="1"/>
    <col min="3" max="3" width="11.5" customWidth="1"/>
    <col min="6" max="6" width="10.25" customWidth="1"/>
    <col min="11" max="11" width="10.25" customWidth="1"/>
  </cols>
  <sheetData>
    <row r="1" spans="1:13" x14ac:dyDescent="0.3">
      <c r="A1" s="25" t="s">
        <v>94</v>
      </c>
      <c r="B1" s="25" t="s">
        <v>95</v>
      </c>
      <c r="C1" s="25" t="s">
        <v>96</v>
      </c>
      <c r="D1" s="25" t="s">
        <v>75</v>
      </c>
      <c r="F1" s="26" t="s">
        <v>102</v>
      </c>
      <c r="G1" s="25" t="s">
        <v>100</v>
      </c>
      <c r="H1" s="25" t="s">
        <v>101</v>
      </c>
    </row>
    <row r="2" spans="1:13" x14ac:dyDescent="0.3">
      <c r="A2" s="24">
        <v>43739</v>
      </c>
      <c r="B2" s="1" t="s">
        <v>97</v>
      </c>
      <c r="C2" s="1" t="s">
        <v>100</v>
      </c>
      <c r="D2" s="1">
        <v>5000</v>
      </c>
      <c r="F2" s="1" t="s">
        <v>97</v>
      </c>
      <c r="G2" s="1">
        <f>SUMIFS($D$2:$D$13,$B$2:$B$13,$F2,$C$2:$C$13,G$1)</f>
        <v>9500</v>
      </c>
      <c r="H2" s="1">
        <f>SUMIFS($D$2:$D$13,$B$2:$B$13,$F2,$C$2:$C$13,H$1)</f>
        <v>5150</v>
      </c>
    </row>
    <row r="3" spans="1:13" x14ac:dyDescent="0.3">
      <c r="A3" s="24">
        <v>43740</v>
      </c>
      <c r="B3" s="1" t="s">
        <v>98</v>
      </c>
      <c r="C3" s="1" t="s">
        <v>101</v>
      </c>
      <c r="D3" s="1">
        <v>6000</v>
      </c>
      <c r="F3" s="1" t="s">
        <v>98</v>
      </c>
      <c r="G3" s="1">
        <f t="shared" ref="G3:H4" si="0">SUMIFS($D$2:$D$13,$B$2:$B$13,$F3,$C$2:$C$13,G$1)</f>
        <v>6500</v>
      </c>
      <c r="H3" s="1">
        <f>SUMIFS($D$2:$D$13,$B$2:$B$13,$F3,$C$2:$C$13,H$1)</f>
        <v>11100</v>
      </c>
    </row>
    <row r="4" spans="1:13" x14ac:dyDescent="0.3">
      <c r="A4" s="24">
        <v>43741</v>
      </c>
      <c r="B4" s="1" t="s">
        <v>97</v>
      </c>
      <c r="C4" s="1" t="s">
        <v>100</v>
      </c>
      <c r="D4" s="1">
        <v>4500</v>
      </c>
      <c r="F4" s="1" t="s">
        <v>190</v>
      </c>
      <c r="G4" s="1">
        <f t="shared" si="0"/>
        <v>11510</v>
      </c>
      <c r="H4" s="1">
        <f t="shared" si="0"/>
        <v>0</v>
      </c>
    </row>
    <row r="5" spans="1:13" x14ac:dyDescent="0.3">
      <c r="A5" s="24">
        <v>43742</v>
      </c>
      <c r="B5" s="1" t="s">
        <v>98</v>
      </c>
      <c r="C5" s="1" t="s">
        <v>100</v>
      </c>
      <c r="D5" s="1">
        <v>6500</v>
      </c>
    </row>
    <row r="6" spans="1:13" x14ac:dyDescent="0.3">
      <c r="A6" s="24">
        <v>43743</v>
      </c>
      <c r="B6" s="1" t="s">
        <v>97</v>
      </c>
      <c r="C6" s="1" t="s">
        <v>101</v>
      </c>
      <c r="D6" s="1">
        <v>4500</v>
      </c>
    </row>
    <row r="7" spans="1:13" x14ac:dyDescent="0.3">
      <c r="A7" s="24">
        <v>43744</v>
      </c>
      <c r="B7" s="1" t="s">
        <v>99</v>
      </c>
      <c r="C7" s="1" t="s">
        <v>100</v>
      </c>
      <c r="D7" s="1">
        <v>6000</v>
      </c>
    </row>
    <row r="8" spans="1:13" x14ac:dyDescent="0.3">
      <c r="A8" s="24">
        <v>43745</v>
      </c>
      <c r="B8" s="1" t="s">
        <v>98</v>
      </c>
      <c r="C8" s="1" t="s">
        <v>101</v>
      </c>
      <c r="D8" s="1">
        <v>4500</v>
      </c>
      <c r="F8" s="56" t="s">
        <v>102</v>
      </c>
      <c r="G8" s="50" t="s">
        <v>100</v>
      </c>
      <c r="H8" s="50" t="s">
        <v>101</v>
      </c>
      <c r="K8" s="56" t="s">
        <v>102</v>
      </c>
      <c r="L8" s="50" t="s">
        <v>100</v>
      </c>
      <c r="M8" s="50" t="s">
        <v>101</v>
      </c>
    </row>
    <row r="9" spans="1:13" x14ac:dyDescent="0.3">
      <c r="A9" s="24">
        <v>43746</v>
      </c>
      <c r="B9" s="1" t="s">
        <v>98</v>
      </c>
      <c r="C9" s="1" t="s">
        <v>101</v>
      </c>
      <c r="D9" s="1">
        <v>600</v>
      </c>
      <c r="F9" s="1" t="s">
        <v>97</v>
      </c>
      <c r="G9" s="1">
        <f>SUMIFS($D$2:$D$13,$B$2:$B$13,$F9,$C$2:$C$13,G$8)</f>
        <v>9500</v>
      </c>
      <c r="H9" s="1"/>
      <c r="K9" s="1" t="s">
        <v>99</v>
      </c>
      <c r="L9" s="1">
        <f>SUMIFS($D$2:$D$13,$B$2:$B$13,$K9,$C$2:$C$13,$L$8)</f>
        <v>11510</v>
      </c>
      <c r="M9" s="1">
        <f>SUMIFS($D$2:$D$13,$B$2:$B$13,$K9,$C$2:$C$13,$M$8)</f>
        <v>0</v>
      </c>
    </row>
    <row r="10" spans="1:13" x14ac:dyDescent="0.3">
      <c r="A10" s="24">
        <v>43747</v>
      </c>
      <c r="B10" s="1" t="s">
        <v>99</v>
      </c>
      <c r="C10" s="1" t="s">
        <v>100</v>
      </c>
      <c r="D10" s="1">
        <v>1500</v>
      </c>
      <c r="F10" s="1" t="s">
        <v>98</v>
      </c>
      <c r="G10" s="1">
        <f t="shared" ref="G10:G14" si="1">SUMIFS($D$2:$D$13,$B$2:$B$13,$F10,$C$2:$C$13,G$8)</f>
        <v>6500</v>
      </c>
      <c r="H10" s="1"/>
      <c r="K10" s="1" t="s">
        <v>98</v>
      </c>
      <c r="L10" s="1">
        <f t="shared" ref="L10:L15" si="2">SUMIFS($D$2:$D$13,$B$2:$B$13,$K10,$C$2:$C$13,$L$8)</f>
        <v>6500</v>
      </c>
      <c r="M10" s="1">
        <f t="shared" ref="M10:M15" si="3">SUMIFS($D$2:$D$13,$B$2:$B$13,$K10,$C$2:$C$13,$M$8)</f>
        <v>11100</v>
      </c>
    </row>
    <row r="11" spans="1:13" x14ac:dyDescent="0.3">
      <c r="A11" s="24">
        <v>43748</v>
      </c>
      <c r="B11" s="1" t="s">
        <v>99</v>
      </c>
      <c r="C11" s="1" t="s">
        <v>100</v>
      </c>
      <c r="D11" s="1">
        <v>1450</v>
      </c>
      <c r="F11" s="1" t="s">
        <v>97</v>
      </c>
      <c r="G11" s="1">
        <f t="shared" si="1"/>
        <v>9500</v>
      </c>
      <c r="H11" s="1"/>
      <c r="K11" s="1" t="s">
        <v>98</v>
      </c>
      <c r="L11" s="1">
        <f t="shared" si="2"/>
        <v>6500</v>
      </c>
      <c r="M11" s="1">
        <f t="shared" si="3"/>
        <v>11100</v>
      </c>
    </row>
    <row r="12" spans="1:13" x14ac:dyDescent="0.3">
      <c r="A12" s="24">
        <v>43749</v>
      </c>
      <c r="B12" s="1" t="s">
        <v>97</v>
      </c>
      <c r="C12" s="1" t="s">
        <v>101</v>
      </c>
      <c r="D12" s="1">
        <v>650</v>
      </c>
      <c r="F12" s="1" t="s">
        <v>98</v>
      </c>
      <c r="G12" s="1">
        <f t="shared" si="1"/>
        <v>6500</v>
      </c>
      <c r="H12" s="1"/>
      <c r="K12" s="1" t="s">
        <v>99</v>
      </c>
      <c r="L12" s="1">
        <f t="shared" si="2"/>
        <v>11510</v>
      </c>
      <c r="M12" s="1">
        <f t="shared" si="3"/>
        <v>0</v>
      </c>
    </row>
    <row r="13" spans="1:13" x14ac:dyDescent="0.3">
      <c r="A13" s="24">
        <v>43750</v>
      </c>
      <c r="B13" s="1" t="s">
        <v>99</v>
      </c>
      <c r="C13" s="1" t="s">
        <v>100</v>
      </c>
      <c r="D13" s="1">
        <v>2560</v>
      </c>
      <c r="F13" s="1" t="s">
        <v>97</v>
      </c>
      <c r="G13" s="1">
        <f t="shared" si="1"/>
        <v>9500</v>
      </c>
      <c r="H13" s="1"/>
      <c r="K13" s="1" t="s">
        <v>99</v>
      </c>
      <c r="L13" s="1">
        <f t="shared" si="2"/>
        <v>11510</v>
      </c>
      <c r="M13" s="1">
        <f t="shared" si="3"/>
        <v>0</v>
      </c>
    </row>
    <row r="14" spans="1:13" x14ac:dyDescent="0.3">
      <c r="F14" s="1" t="s">
        <v>99</v>
      </c>
      <c r="G14" s="1">
        <f t="shared" si="1"/>
        <v>11510</v>
      </c>
      <c r="H14" s="1"/>
      <c r="K14" s="1" t="s">
        <v>97</v>
      </c>
      <c r="L14" s="1">
        <f t="shared" si="2"/>
        <v>9500</v>
      </c>
      <c r="M14" s="1">
        <f t="shared" si="3"/>
        <v>5150</v>
      </c>
    </row>
    <row r="15" spans="1:13" x14ac:dyDescent="0.3">
      <c r="K15" s="1" t="s">
        <v>99</v>
      </c>
      <c r="L15" s="1">
        <f t="shared" si="2"/>
        <v>11510</v>
      </c>
      <c r="M15" s="1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200" zoomScaleNormal="200" workbookViewId="0">
      <selection activeCell="E15" sqref="E15"/>
    </sheetView>
  </sheetViews>
  <sheetFormatPr defaultColWidth="13.875" defaultRowHeight="18" customHeight="1" x14ac:dyDescent="0.3"/>
  <sheetData>
    <row r="1" spans="1:8" ht="18" customHeight="1" x14ac:dyDescent="0.3">
      <c r="A1" s="25" t="s">
        <v>94</v>
      </c>
      <c r="B1" s="25" t="s">
        <v>95</v>
      </c>
      <c r="C1" s="25" t="s">
        <v>96</v>
      </c>
      <c r="D1" s="25" t="s">
        <v>75</v>
      </c>
      <c r="F1" s="26" t="s">
        <v>102</v>
      </c>
      <c r="G1" s="25" t="s">
        <v>191</v>
      </c>
      <c r="H1" s="25"/>
    </row>
    <row r="2" spans="1:8" ht="18" customHeight="1" x14ac:dyDescent="0.3">
      <c r="A2" s="24">
        <v>43739</v>
      </c>
      <c r="B2" s="1" t="s">
        <v>97</v>
      </c>
      <c r="C2" s="1" t="s">
        <v>100</v>
      </c>
      <c r="D2" s="1">
        <v>5000</v>
      </c>
      <c r="F2" s="1" t="s">
        <v>97</v>
      </c>
      <c r="G2" s="1">
        <f>COUNTIF($B$2:$B$13,F2)</f>
        <v>4</v>
      </c>
      <c r="H2" s="1"/>
    </row>
    <row r="3" spans="1:8" ht="18" customHeight="1" x14ac:dyDescent="0.3">
      <c r="A3" s="24">
        <v>43740</v>
      </c>
      <c r="B3" s="1" t="s">
        <v>98</v>
      </c>
      <c r="C3" s="1" t="s">
        <v>101</v>
      </c>
      <c r="D3" s="1">
        <v>6000</v>
      </c>
      <c r="F3" s="1" t="s">
        <v>98</v>
      </c>
      <c r="G3" s="1">
        <f>COUNTIF($B$2:$B$13,F3)</f>
        <v>4</v>
      </c>
      <c r="H3" s="1"/>
    </row>
    <row r="4" spans="1:8" ht="18" customHeight="1" x14ac:dyDescent="0.3">
      <c r="A4" s="24">
        <v>43741</v>
      </c>
      <c r="B4" s="1" t="s">
        <v>97</v>
      </c>
      <c r="C4" s="1" t="s">
        <v>100</v>
      </c>
      <c r="D4" s="1">
        <v>4500</v>
      </c>
      <c r="F4" s="1" t="s">
        <v>190</v>
      </c>
      <c r="G4" s="1">
        <f>COUNTIF($B$2:$B$13,F4)</f>
        <v>4</v>
      </c>
      <c r="H4" s="1"/>
    </row>
    <row r="5" spans="1:8" ht="18" customHeight="1" x14ac:dyDescent="0.3">
      <c r="A5" s="24">
        <v>43742</v>
      </c>
      <c r="B5" s="1" t="s">
        <v>98</v>
      </c>
      <c r="C5" s="1" t="s">
        <v>100</v>
      </c>
      <c r="D5" s="1">
        <v>6500</v>
      </c>
    </row>
    <row r="6" spans="1:8" ht="18" customHeight="1" x14ac:dyDescent="0.3">
      <c r="A6" s="24">
        <v>43743</v>
      </c>
      <c r="B6" s="1" t="s">
        <v>97</v>
      </c>
      <c r="C6" s="1" t="s">
        <v>101</v>
      </c>
      <c r="D6" s="1">
        <v>4500</v>
      </c>
    </row>
    <row r="7" spans="1:8" ht="18" customHeight="1" x14ac:dyDescent="0.3">
      <c r="A7" s="24">
        <v>43744</v>
      </c>
      <c r="B7" s="1" t="s">
        <v>99</v>
      </c>
      <c r="C7" s="1" t="s">
        <v>100</v>
      </c>
      <c r="D7" s="1">
        <v>6000</v>
      </c>
    </row>
    <row r="8" spans="1:8" ht="18" customHeight="1" x14ac:dyDescent="0.3">
      <c r="A8" s="24">
        <v>43745</v>
      </c>
      <c r="B8" s="1" t="s">
        <v>98</v>
      </c>
      <c r="C8" s="1" t="s">
        <v>101</v>
      </c>
      <c r="D8" s="1">
        <v>4500</v>
      </c>
      <c r="F8" s="58" t="s">
        <v>102</v>
      </c>
      <c r="G8" s="59" t="s">
        <v>191</v>
      </c>
      <c r="H8" s="60"/>
    </row>
    <row r="9" spans="1:8" ht="18" customHeight="1" x14ac:dyDescent="0.3">
      <c r="A9" s="24">
        <v>43746</v>
      </c>
      <c r="B9" s="1" t="s">
        <v>98</v>
      </c>
      <c r="C9" s="1" t="s">
        <v>101</v>
      </c>
      <c r="D9" s="1">
        <v>600</v>
      </c>
      <c r="F9" s="57" t="s">
        <v>98</v>
      </c>
      <c r="G9" s="57">
        <f>COUNTIF($B:$B,$F9)</f>
        <v>4</v>
      </c>
      <c r="H9" s="57"/>
    </row>
    <row r="10" spans="1:8" ht="18" customHeight="1" x14ac:dyDescent="0.3">
      <c r="A10" s="24">
        <v>43747</v>
      </c>
      <c r="B10" s="1" t="s">
        <v>99</v>
      </c>
      <c r="C10" s="1" t="s">
        <v>100</v>
      </c>
      <c r="D10" s="1">
        <v>1500</v>
      </c>
      <c r="F10" s="1" t="s">
        <v>97</v>
      </c>
      <c r="G10" s="57">
        <f t="shared" ref="G10:G11" si="0">COUNTIF($B:$B,$F10)</f>
        <v>4</v>
      </c>
      <c r="H10" s="1"/>
    </row>
    <row r="11" spans="1:8" ht="18" customHeight="1" x14ac:dyDescent="0.3">
      <c r="A11" s="24">
        <v>43748</v>
      </c>
      <c r="B11" s="1" t="s">
        <v>99</v>
      </c>
      <c r="C11" s="1" t="s">
        <v>100</v>
      </c>
      <c r="D11" s="1">
        <v>1450</v>
      </c>
      <c r="F11" s="1" t="s">
        <v>99</v>
      </c>
      <c r="G11" s="57">
        <f t="shared" si="0"/>
        <v>7</v>
      </c>
      <c r="H11" s="1"/>
    </row>
    <row r="12" spans="1:8" ht="18" customHeight="1" x14ac:dyDescent="0.3">
      <c r="A12" s="24">
        <v>43749</v>
      </c>
      <c r="B12" s="1" t="s">
        <v>97</v>
      </c>
      <c r="C12" s="1" t="s">
        <v>101</v>
      </c>
      <c r="D12" s="1">
        <v>650</v>
      </c>
    </row>
    <row r="13" spans="1:8" ht="18" customHeight="1" x14ac:dyDescent="0.3">
      <c r="A13" s="24">
        <v>43750</v>
      </c>
      <c r="B13" s="1" t="s">
        <v>99</v>
      </c>
      <c r="C13" s="1" t="s">
        <v>100</v>
      </c>
      <c r="D13" s="1">
        <v>2560</v>
      </c>
    </row>
    <row r="14" spans="1:8" ht="18" customHeight="1" x14ac:dyDescent="0.3">
      <c r="A14" s="24">
        <v>43751</v>
      </c>
      <c r="B14" s="1" t="s">
        <v>99</v>
      </c>
      <c r="C14" s="1" t="s">
        <v>100</v>
      </c>
      <c r="D14" s="1">
        <v>2561</v>
      </c>
    </row>
    <row r="15" spans="1:8" ht="18" customHeight="1" x14ac:dyDescent="0.3">
      <c r="A15" s="24">
        <v>43752</v>
      </c>
      <c r="B15" s="1" t="s">
        <v>99</v>
      </c>
      <c r="C15" s="1" t="s">
        <v>100</v>
      </c>
      <c r="D15" s="1">
        <v>2562</v>
      </c>
    </row>
    <row r="16" spans="1:8" ht="18" customHeight="1" x14ac:dyDescent="0.3">
      <c r="A16" s="24">
        <v>43753</v>
      </c>
      <c r="B16" s="1" t="s">
        <v>99</v>
      </c>
      <c r="C16" s="1" t="s">
        <v>100</v>
      </c>
      <c r="D16" s="1">
        <v>2563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00" zoomScaleNormal="200" workbookViewId="0">
      <selection activeCell="G12" sqref="G12"/>
    </sheetView>
  </sheetViews>
  <sheetFormatPr defaultColWidth="14.5" defaultRowHeight="18.75" customHeight="1" x14ac:dyDescent="0.3"/>
  <sheetData>
    <row r="1" spans="1:8" ht="18.75" customHeight="1" x14ac:dyDescent="0.3">
      <c r="A1" s="25" t="s">
        <v>94</v>
      </c>
      <c r="B1" s="25" t="s">
        <v>95</v>
      </c>
      <c r="C1" s="25" t="s">
        <v>96</v>
      </c>
      <c r="D1" s="25" t="s">
        <v>75</v>
      </c>
      <c r="F1" s="26" t="s">
        <v>102</v>
      </c>
      <c r="G1" s="25" t="s">
        <v>100</v>
      </c>
      <c r="H1" s="25" t="s">
        <v>101</v>
      </c>
    </row>
    <row r="2" spans="1:8" ht="18.75" customHeight="1" x14ac:dyDescent="0.3">
      <c r="A2" s="24">
        <v>43739</v>
      </c>
      <c r="B2" s="1" t="s">
        <v>97</v>
      </c>
      <c r="C2" s="1" t="s">
        <v>100</v>
      </c>
      <c r="D2" s="1">
        <v>5000</v>
      </c>
      <c r="F2" s="1" t="s">
        <v>97</v>
      </c>
      <c r="G2" s="1">
        <f>COUNTIFS($B$2:$B$13,$F2,$C$2:$C$13,G$1)</f>
        <v>2</v>
      </c>
      <c r="H2" s="1">
        <f>COUNTIFS($B$2:$B$13,$F2,$C$2:$C$13,H$1)</f>
        <v>2</v>
      </c>
    </row>
    <row r="3" spans="1:8" ht="18.75" customHeight="1" x14ac:dyDescent="0.3">
      <c r="A3" s="24">
        <v>43740</v>
      </c>
      <c r="B3" s="1" t="s">
        <v>98</v>
      </c>
      <c r="C3" s="1" t="s">
        <v>101</v>
      </c>
      <c r="D3" s="1">
        <v>6000</v>
      </c>
      <c r="F3" s="1" t="s">
        <v>98</v>
      </c>
      <c r="G3" s="1">
        <f t="shared" ref="G3:H4" si="0">COUNTIFS($B$2:$B$13,$F3,$C$2:$C$13,G$1)</f>
        <v>1</v>
      </c>
      <c r="H3" s="1">
        <f t="shared" si="0"/>
        <v>3</v>
      </c>
    </row>
    <row r="4" spans="1:8" ht="18.75" customHeight="1" x14ac:dyDescent="0.3">
      <c r="A4" s="24">
        <v>43741</v>
      </c>
      <c r="B4" s="1" t="s">
        <v>97</v>
      </c>
      <c r="C4" s="1" t="s">
        <v>100</v>
      </c>
      <c r="D4" s="1">
        <v>4500</v>
      </c>
      <c r="F4" s="1" t="s">
        <v>190</v>
      </c>
      <c r="G4" s="1">
        <f t="shared" si="0"/>
        <v>4</v>
      </c>
      <c r="H4" s="1">
        <f t="shared" si="0"/>
        <v>0</v>
      </c>
    </row>
    <row r="5" spans="1:8" ht="18.75" customHeight="1" x14ac:dyDescent="0.3">
      <c r="A5" s="24">
        <v>43742</v>
      </c>
      <c r="B5" s="1" t="s">
        <v>98</v>
      </c>
      <c r="C5" s="1" t="s">
        <v>100</v>
      </c>
      <c r="D5" s="1">
        <v>6500</v>
      </c>
    </row>
    <row r="6" spans="1:8" ht="18.75" customHeight="1" x14ac:dyDescent="0.3">
      <c r="A6" s="24">
        <v>43743</v>
      </c>
      <c r="B6" s="1" t="s">
        <v>97</v>
      </c>
      <c r="C6" s="1" t="s">
        <v>101</v>
      </c>
      <c r="D6" s="1">
        <v>4500</v>
      </c>
    </row>
    <row r="7" spans="1:8" ht="18.75" customHeight="1" x14ac:dyDescent="0.3">
      <c r="A7" s="24">
        <v>43744</v>
      </c>
      <c r="B7" s="1" t="s">
        <v>99</v>
      </c>
      <c r="C7" s="1" t="s">
        <v>100</v>
      </c>
      <c r="D7" s="1">
        <v>6000</v>
      </c>
    </row>
    <row r="8" spans="1:8" ht="18.75" customHeight="1" x14ac:dyDescent="0.3">
      <c r="A8" s="24">
        <v>43745</v>
      </c>
      <c r="B8" s="1" t="s">
        <v>98</v>
      </c>
      <c r="C8" s="1" t="s">
        <v>101</v>
      </c>
      <c r="D8" s="1">
        <v>4500</v>
      </c>
    </row>
    <row r="9" spans="1:8" ht="18.75" customHeight="1" x14ac:dyDescent="0.3">
      <c r="A9" s="24">
        <v>43746</v>
      </c>
      <c r="B9" s="1" t="s">
        <v>98</v>
      </c>
      <c r="C9" s="1" t="s">
        <v>101</v>
      </c>
      <c r="D9" s="1">
        <v>600</v>
      </c>
    </row>
    <row r="10" spans="1:8" ht="18.75" customHeight="1" x14ac:dyDescent="0.3">
      <c r="A10" s="24">
        <v>43747</v>
      </c>
      <c r="B10" s="1" t="s">
        <v>99</v>
      </c>
      <c r="C10" s="1" t="s">
        <v>100</v>
      </c>
      <c r="D10" s="1">
        <v>1500</v>
      </c>
      <c r="F10" s="26" t="s">
        <v>102</v>
      </c>
      <c r="G10" s="25" t="s">
        <v>100</v>
      </c>
      <c r="H10" s="25" t="s">
        <v>101</v>
      </c>
    </row>
    <row r="11" spans="1:8" ht="18.75" customHeight="1" x14ac:dyDescent="0.3">
      <c r="A11" s="24">
        <v>43748</v>
      </c>
      <c r="B11" s="1" t="s">
        <v>99</v>
      </c>
      <c r="C11" s="1" t="s">
        <v>100</v>
      </c>
      <c r="D11" s="1">
        <v>1450</v>
      </c>
      <c r="F11" s="1" t="s">
        <v>97</v>
      </c>
      <c r="G11" s="1">
        <f>COUNTIFS($B$2:$B$13,$F11,$C$2:$C$13,G$10)</f>
        <v>2</v>
      </c>
      <c r="H11" s="1">
        <f>COUNTIFS($B$2:$B$13,$F11,$C$2:$C$13,H$10)</f>
        <v>2</v>
      </c>
    </row>
    <row r="12" spans="1:8" ht="18.75" customHeight="1" x14ac:dyDescent="0.3">
      <c r="A12" s="24">
        <v>43749</v>
      </c>
      <c r="B12" s="1" t="s">
        <v>97</v>
      </c>
      <c r="C12" s="1" t="s">
        <v>101</v>
      </c>
      <c r="D12" s="1">
        <v>650</v>
      </c>
      <c r="F12" s="1" t="s">
        <v>98</v>
      </c>
      <c r="G12" s="1">
        <f t="shared" ref="G12:H13" si="1">COUNTIFS($B$2:$B$13,$F12,$C$2:$C$13,G$10)</f>
        <v>1</v>
      </c>
      <c r="H12" s="1">
        <f t="shared" si="1"/>
        <v>3</v>
      </c>
    </row>
    <row r="13" spans="1:8" ht="18.75" customHeight="1" x14ac:dyDescent="0.3">
      <c r="A13" s="24">
        <v>43750</v>
      </c>
      <c r="B13" s="1" t="s">
        <v>99</v>
      </c>
      <c r="C13" s="1" t="s">
        <v>100</v>
      </c>
      <c r="D13" s="1">
        <v>2560</v>
      </c>
      <c r="F13" s="1" t="s">
        <v>190</v>
      </c>
      <c r="G13" s="1">
        <f t="shared" si="1"/>
        <v>4</v>
      </c>
      <c r="H13" s="1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FREQUENCY</vt:lpstr>
      <vt:lpstr>INDEX &amp; MATCH</vt:lpstr>
      <vt:lpstr>LOOKUP</vt:lpstr>
      <vt:lpstr>VLOOKUP</vt:lpstr>
      <vt:lpstr>HLOOKUP</vt:lpstr>
      <vt:lpstr>SUMIF</vt:lpstr>
      <vt:lpstr>SUMIFS</vt:lpstr>
      <vt:lpstr>COUNTIF</vt:lpstr>
      <vt:lpstr>COUNTIFS</vt:lpstr>
      <vt:lpstr>COUNTA &amp; COUNT BLANK</vt:lpstr>
      <vt:lpstr>AVERAGEIF AND AVERAGE IFS</vt:lpstr>
      <vt:lpstr>SUBTOTAL</vt:lpstr>
      <vt:lpstr>SUMPRODUCT</vt:lpstr>
      <vt:lpstr>IF FORMULA</vt:lpstr>
      <vt:lpstr>IF AND IF OR</vt:lpstr>
      <vt:lpstr>NESTED IF</vt:lpstr>
      <vt:lpstr>LEFT, MID, RIGHT, FIND </vt:lpstr>
      <vt:lpstr>REPEAT</vt:lpstr>
      <vt:lpstr>SUBSTITUTE</vt:lpstr>
      <vt:lpstr>PMT,IPMT,PPMT,PV,FV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Asad_Pro_3.1</cp:lastModifiedBy>
  <dcterms:created xsi:type="dcterms:W3CDTF">2019-10-18T01:12:53Z</dcterms:created>
  <dcterms:modified xsi:type="dcterms:W3CDTF">2022-06-11T12:29:22Z</dcterms:modified>
</cp:coreProperties>
</file>