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sakhe\Downloads\"/>
    </mc:Choice>
  </mc:AlternateContent>
  <bookViews>
    <workbookView xWindow="0" yWindow="0" windowWidth="28800" windowHeight="12210" tabRatio="500"/>
  </bookViews>
  <sheets>
    <sheet name="MPT" sheetId="1" r:id="rId1"/>
    <sheet name="Data" sheetId="8" r:id="rId2"/>
  </sheets>
  <definedNames>
    <definedName name="solver_adj" localSheetId="0" hidden="1">MPT!$A$13:$A$17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MPT!$A$13:$A$17</definedName>
    <definedName name="solver_lhs2" localSheetId="0" hidden="1">MPT!$A$18</definedName>
    <definedName name="solver_lhs3" localSheetId="0" hidden="1">MPT!$J$19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MPT!$J$20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1</definedName>
    <definedName name="solver_rhs3" localSheetId="0" hidden="1">MPT!$K$19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C11" i="1"/>
  <c r="D11" i="1"/>
  <c r="E11" i="1"/>
  <c r="F13" i="8"/>
  <c r="F12" i="8"/>
  <c r="F11" i="8"/>
  <c r="F10" i="8"/>
  <c r="F9" i="8"/>
  <c r="F8" i="8"/>
  <c r="F7" i="8"/>
  <c r="F6" i="8"/>
  <c r="F5" i="8"/>
  <c r="F4" i="8"/>
  <c r="F3" i="8"/>
  <c r="F2" i="8"/>
  <c r="E13" i="8"/>
  <c r="E12" i="8"/>
  <c r="E11" i="8"/>
  <c r="E10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5" i="8"/>
  <c r="B4" i="8"/>
  <c r="B3" i="8"/>
  <c r="B2" i="8"/>
  <c r="D13" i="1"/>
  <c r="D14" i="1"/>
  <c r="D15" i="1"/>
  <c r="D16" i="1"/>
  <c r="D17" i="1"/>
  <c r="E13" i="1"/>
  <c r="E14" i="1"/>
  <c r="E15" i="1"/>
  <c r="E16" i="1"/>
  <c r="E17" i="1"/>
  <c r="F13" i="1"/>
  <c r="F14" i="1"/>
  <c r="F15" i="1"/>
  <c r="F16" i="1"/>
  <c r="F17" i="1"/>
  <c r="G13" i="1"/>
  <c r="G14" i="1"/>
  <c r="G15" i="1"/>
  <c r="G16" i="1"/>
  <c r="G17" i="1"/>
  <c r="J13" i="1"/>
  <c r="K13" i="1"/>
  <c r="J14" i="1"/>
  <c r="K14" i="1"/>
  <c r="J15" i="1"/>
  <c r="K15" i="1"/>
  <c r="J16" i="1"/>
  <c r="K16" i="1"/>
  <c r="J17" i="1"/>
  <c r="K17" i="1"/>
  <c r="J19" i="1"/>
  <c r="C17" i="1"/>
  <c r="C16" i="1"/>
  <c r="C15" i="1"/>
  <c r="C14" i="1"/>
  <c r="C13" i="1"/>
  <c r="A18" i="1"/>
  <c r="C18" i="1"/>
  <c r="D18" i="1"/>
  <c r="E18" i="1"/>
  <c r="F18" i="1"/>
  <c r="G18" i="1"/>
  <c r="J20" i="1"/>
</calcChain>
</file>

<file path=xl/sharedStrings.xml><?xml version="1.0" encoding="utf-8"?>
<sst xmlns="http://schemas.openxmlformats.org/spreadsheetml/2006/main" count="36" uniqueCount="15">
  <si>
    <t>Date</t>
  </si>
  <si>
    <t>Covariance Table</t>
  </si>
  <si>
    <t>Returns</t>
  </si>
  <si>
    <t>Weights</t>
  </si>
  <si>
    <t>Target Return</t>
  </si>
  <si>
    <t>Standard Deviation</t>
  </si>
  <si>
    <t>Portfolios</t>
  </si>
  <si>
    <t>Return</t>
  </si>
  <si>
    <t xml:space="preserve">Monthly </t>
  </si>
  <si>
    <t>Annual</t>
  </si>
  <si>
    <t>BTC</t>
  </si>
  <si>
    <t>ETH</t>
  </si>
  <si>
    <t>XRP</t>
  </si>
  <si>
    <t>BCH</t>
  </si>
  <si>
    <t>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</si>
</sst>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%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9" fontId="0" fillId="0" borderId="0" xfId="0" applyNumberFormat="1" applyFont="1" applyAlignment="1"/>
    <xf numFmtId="0" fontId="0" fillId="2" borderId="0" xfId="0" applyFont="1" applyFill="1" applyAlignment="1"/>
    <xf numFmtId="9" fontId="5" fillId="0" borderId="0" xfId="0" applyNumberFormat="1" applyFont="1" applyFill="1" applyAlignment="1"/>
    <xf numFmtId="0" fontId="6" fillId="0" borderId="0" xfId="0" applyFont="1" applyAlignment="1"/>
    <xf numFmtId="14" fontId="0" fillId="0" borderId="0" xfId="0" applyNumberFormat="1"/>
    <xf numFmtId="164" fontId="0" fillId="0" borderId="0" xfId="0" applyNumberFormat="1" applyFont="1" applyAlignment="1"/>
    <xf numFmtId="9" fontId="5" fillId="0" borderId="0" xfId="0" applyNumberFormat="1" applyFont="1" applyAlignment="1"/>
    <xf numFmtId="2" fontId="5" fillId="0" borderId="0" xfId="0" applyNumberFormat="1" applyFont="1" applyAlignme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MPT!$B$24:$G$24</c:f>
              <c:numCache>
                <c:formatCode>General</c:formatCode>
                <c:ptCount val="6"/>
                <c:pt idx="0">
                  <c:v>73.06</c:v>
                </c:pt>
                <c:pt idx="1">
                  <c:v>63.29</c:v>
                </c:pt>
                <c:pt idx="2">
                  <c:v>60.5</c:v>
                </c:pt>
                <c:pt idx="3">
                  <c:v>63.43</c:v>
                </c:pt>
                <c:pt idx="4">
                  <c:v>71.540000000000006</c:v>
                </c:pt>
                <c:pt idx="5">
                  <c:v>94.51</c:v>
                </c:pt>
              </c:numCache>
            </c:numRef>
          </c:xVal>
          <c:yVal>
            <c:numRef>
              <c:f>MPT!$B$23:$G$23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F-4A3A-8C90-A550F0F5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66128"/>
        <c:axId val="1648566656"/>
      </c:scatterChart>
      <c:valAx>
        <c:axId val="16485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6656"/>
        <c:crosses val="autoZero"/>
        <c:crossBetween val="midCat"/>
      </c:valAx>
      <c:valAx>
        <c:axId val="1648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19537</xdr:colOff>
      <xdr:row>22</xdr:row>
      <xdr:rowOff>26869</xdr:rowOff>
    </xdr:from>
    <xdr:to>
      <xdr:col>11</xdr:col>
      <xdr:colOff>930519</xdr:colOff>
      <xdr:row>34</xdr:row>
      <xdr:rowOff>161193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A10" zoomScale="130" zoomScaleNormal="130" workbookViewId="0">
      <selection activeCell="J19" sqref="J19"/>
    </sheetView>
  </sheetViews>
  <sheetFormatPr defaultColWidth="14.42578125" defaultRowHeight="15.75" customHeight="1" x14ac:dyDescent="0.2"/>
  <cols>
    <col min="1" max="1" width="17" customWidth="1"/>
    <col min="3" max="3" width="22.7109375" bestFit="1" customWidth="1"/>
    <col min="4" max="5" width="10.85546875" bestFit="1" customWidth="1"/>
    <col min="6" max="7" width="10.85546875" customWidth="1"/>
    <col min="9" max="9" width="16.5703125" bestFit="1" customWidth="1"/>
    <col min="10" max="10" width="12" bestFit="1" customWidth="1"/>
    <col min="11" max="11" width="14" customWidth="1"/>
  </cols>
  <sheetData>
    <row r="1" spans="1:28" ht="15.75" customHeight="1" x14ac:dyDescent="0.2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/>
      <c r="B2" s="4"/>
      <c r="C2" s="4"/>
      <c r="D2" s="4"/>
      <c r="E2" s="4"/>
      <c r="F2" s="4"/>
      <c r="G2" s="4"/>
    </row>
    <row r="3" spans="1:28" ht="15.75" customHeight="1" x14ac:dyDescent="0.2">
      <c r="A3" s="4"/>
      <c r="B3" s="4"/>
      <c r="C3" s="4"/>
      <c r="D3" s="4"/>
      <c r="E3" s="4"/>
      <c r="F3" s="4"/>
      <c r="G3" s="4"/>
    </row>
    <row r="4" spans="1:28" ht="15.75" customHeight="1" x14ac:dyDescent="0.2">
      <c r="A4" s="4"/>
      <c r="B4" s="4"/>
      <c r="C4" s="4"/>
      <c r="D4" s="4"/>
      <c r="E4" s="4"/>
      <c r="F4" s="4"/>
      <c r="G4" s="4"/>
    </row>
    <row r="5" spans="1:28" ht="15.75" customHeight="1" x14ac:dyDescent="0.2">
      <c r="A5" s="4"/>
      <c r="B5" s="4"/>
      <c r="C5" s="4"/>
      <c r="D5" s="4"/>
      <c r="E5" s="4"/>
      <c r="F5" s="4"/>
      <c r="G5" s="4"/>
    </row>
    <row r="6" spans="1:28" ht="15.75" customHeight="1" x14ac:dyDescent="0.2">
      <c r="A6" s="4"/>
      <c r="B6" s="4"/>
      <c r="C6" s="4"/>
      <c r="D6" s="4"/>
      <c r="E6" s="4"/>
      <c r="F6" s="4"/>
      <c r="G6" s="4"/>
    </row>
    <row r="7" spans="1:28" ht="15.75" customHeight="1" x14ac:dyDescent="0.2">
      <c r="A7" s="4"/>
      <c r="B7" s="4"/>
      <c r="C7" s="4"/>
      <c r="D7" s="4"/>
      <c r="E7" s="4"/>
      <c r="F7" s="4"/>
      <c r="G7" s="4"/>
    </row>
    <row r="10" spans="1:28" ht="15.75" customHeight="1" x14ac:dyDescent="0.2">
      <c r="B10" s="1" t="s">
        <v>1</v>
      </c>
      <c r="I10" s="1" t="s">
        <v>2</v>
      </c>
    </row>
    <row r="11" spans="1:28" ht="15.75" customHeight="1" x14ac:dyDescent="0.2">
      <c r="A11" s="1" t="s">
        <v>3</v>
      </c>
      <c r="C11" s="11">
        <f>A13</f>
        <v>0.38254724025862341</v>
      </c>
      <c r="D11" s="11">
        <f>A14</f>
        <v>0</v>
      </c>
      <c r="E11" s="11">
        <f>A15</f>
        <v>0</v>
      </c>
      <c r="F11" s="11">
        <f>A16</f>
        <v>0.61745275974137637</v>
      </c>
      <c r="G11" s="11">
        <f>A17</f>
        <v>0</v>
      </c>
    </row>
    <row r="12" spans="1:28" ht="15.75" customHeight="1" x14ac:dyDescent="0.2">
      <c r="C12" s="8" t="s">
        <v>10</v>
      </c>
      <c r="D12" s="8" t="s">
        <v>11</v>
      </c>
      <c r="E12" s="8" t="s">
        <v>12</v>
      </c>
      <c r="F12" s="8" t="s">
        <v>13</v>
      </c>
      <c r="G12" s="8" t="s">
        <v>14</v>
      </c>
      <c r="J12" s="4" t="s">
        <v>8</v>
      </c>
      <c r="K12" s="4" t="s">
        <v>9</v>
      </c>
    </row>
    <row r="13" spans="1:28" ht="15.75" customHeight="1" x14ac:dyDescent="0.2">
      <c r="A13" s="7">
        <v>0.38254724025862341</v>
      </c>
      <c r="B13" s="1" t="s">
        <v>10</v>
      </c>
      <c r="C13">
        <f>COVAR(Data!B2:B13,Data!B2:B13)</f>
        <v>591.74069670192648</v>
      </c>
      <c r="D13">
        <f>COVAR(Data!B2:B13,Data!C2:C13)</f>
        <v>-300.00057730256793</v>
      </c>
      <c r="E13">
        <f>COVAR(Data!B2:B13,Data!D2:D13)</f>
        <v>-536.61204873409986</v>
      </c>
      <c r="F13">
        <f>COVAR(Data!B2:B13,Data!E2:E13)</f>
        <v>-46.923850460217544</v>
      </c>
      <c r="G13">
        <f>COVAR(Data!B2:B13,Data!F2:F13)</f>
        <v>-227.10219889385147</v>
      </c>
      <c r="I13" s="1" t="s">
        <v>10</v>
      </c>
      <c r="J13">
        <f>AVERAGE(Data!B2:B13)</f>
        <v>18.911048845039499</v>
      </c>
      <c r="K13">
        <f>J13*12</f>
        <v>226.93258614047397</v>
      </c>
    </row>
    <row r="14" spans="1:28" ht="15.75" customHeight="1" x14ac:dyDescent="0.2">
      <c r="A14" s="7">
        <v>0</v>
      </c>
      <c r="B14" s="1" t="s">
        <v>11</v>
      </c>
      <c r="C14">
        <f>COVAR(Data!C2:C13,Data!B2:B13)</f>
        <v>-300.00057730256793</v>
      </c>
      <c r="D14">
        <f>COVAR(Data!C2:C13,Data!C2:C13)</f>
        <v>6057.2931927818945</v>
      </c>
      <c r="E14">
        <f>COVAR(Data!C2:C13,Data!D2:D13)</f>
        <v>9159.0221373562654</v>
      </c>
      <c r="F14">
        <f>COVAR(Data!C2:C13,Data!E2:E13)</f>
        <v>767.33278932432449</v>
      </c>
      <c r="G14">
        <f>COVAR(Data!C2:C13,Data!F2:F13)</f>
        <v>2070.4673877489572</v>
      </c>
      <c r="I14" s="1" t="s">
        <v>11</v>
      </c>
      <c r="J14">
        <f>AVERAGE(Data!C2:C13)</f>
        <v>48.456003621285731</v>
      </c>
      <c r="K14">
        <f t="shared" ref="K14:K17" si="0">J14*12</f>
        <v>581.47204345542877</v>
      </c>
    </row>
    <row r="15" spans="1:28" ht="15.75" customHeight="1" x14ac:dyDescent="0.2">
      <c r="A15" s="7">
        <v>0</v>
      </c>
      <c r="B15" s="1" t="s">
        <v>12</v>
      </c>
      <c r="C15">
        <f>COVAR(Data!D2:D13,Data!B2:B13)</f>
        <v>-536.61204873409986</v>
      </c>
      <c r="D15">
        <f>COVAR(Data!D2:D13,Data!C2:C13)</f>
        <v>9159.0221373562654</v>
      </c>
      <c r="E15">
        <f>COVAR(Data!D2:D13,Data!D2:D13)</f>
        <v>16424.85013637862</v>
      </c>
      <c r="F15">
        <f>COVAR(Data!D2:D13,Data!E2:E13)</f>
        <v>454.15828790544634</v>
      </c>
      <c r="G15">
        <f>COVAR(Data!D2:D13,Data!F2:F13)</f>
        <v>3679.3713984208753</v>
      </c>
      <c r="I15" s="1" t="s">
        <v>12</v>
      </c>
      <c r="J15">
        <f>AVERAGE(Data!D2:D13)</f>
        <v>64.133649664957588</v>
      </c>
      <c r="K15">
        <f t="shared" si="0"/>
        <v>769.603795979491</v>
      </c>
    </row>
    <row r="16" spans="1:28" ht="15.75" customHeight="1" x14ac:dyDescent="0.2">
      <c r="A16" s="7">
        <v>0.61745275974137637</v>
      </c>
      <c r="B16" s="1" t="s">
        <v>13</v>
      </c>
      <c r="C16">
        <f>COVAR(Data!E2:E13,Data!B2:B13)</f>
        <v>-46.923850460217544</v>
      </c>
      <c r="D16">
        <f>COVAR(Data!E2:E13,Data!C2:C13)</f>
        <v>767.33278932432449</v>
      </c>
      <c r="E16">
        <f>COVAR(Data!E2:E13,Data!D2:D13)</f>
        <v>454.15828790544634</v>
      </c>
      <c r="F16">
        <f>COVAR(Data!E2:E13,Data!E2:E13)</f>
        <v>997.87313526426658</v>
      </c>
      <c r="G16">
        <f>COVAR(Data!E2:E13,Data!F2:F13)</f>
        <v>514.17400302806823</v>
      </c>
      <c r="I16" s="1" t="s">
        <v>13</v>
      </c>
      <c r="J16">
        <f>AVERAGE(Data!E2:E13)</f>
        <v>1.7798344676512896</v>
      </c>
      <c r="K16">
        <f t="shared" si="0"/>
        <v>21.358013611815476</v>
      </c>
    </row>
    <row r="17" spans="1:11" ht="15.75" customHeight="1" x14ac:dyDescent="0.2">
      <c r="A17" s="7">
        <v>0</v>
      </c>
      <c r="B17" s="1" t="s">
        <v>14</v>
      </c>
      <c r="C17">
        <f>COVAR(Data!F2:F13,Data!B2:B13)</f>
        <v>-227.10219889385147</v>
      </c>
      <c r="D17">
        <f>COVAR(Data!F2:F13,Data!C2:C13)</f>
        <v>2070.4673877489572</v>
      </c>
      <c r="E17">
        <f>COVAR(Data!F2:F13,Data!D2:D13)</f>
        <v>3679.3713984208753</v>
      </c>
      <c r="F17">
        <f>COVAR(Data!F2:F13,Data!E2:E13)</f>
        <v>514.17400302806823</v>
      </c>
      <c r="G17">
        <f>COVAR(Data!F2:F13,Data!F2:F13)</f>
        <v>2043.8866369335467</v>
      </c>
      <c r="I17" s="1" t="s">
        <v>14</v>
      </c>
      <c r="J17">
        <f>AVERAGE(Data!F2:F13)</f>
        <v>31.688272718093575</v>
      </c>
      <c r="K17">
        <f t="shared" si="0"/>
        <v>380.25927261712292</v>
      </c>
    </row>
    <row r="18" spans="1:11" ht="15.75" customHeight="1" x14ac:dyDescent="0.2">
      <c r="A18" s="5">
        <f>SUM(A13:A17)</f>
        <v>0.99999999999999978</v>
      </c>
      <c r="C18" s="10">
        <f>C11*SUMPRODUCT(A13:A17,C13:C17)</f>
        <v>75.513107401609403</v>
      </c>
      <c r="D18" s="5">
        <f>D11*SUMPRODUCT(A13:A17,D13:D17)</f>
        <v>0</v>
      </c>
      <c r="E18" s="5">
        <f>E11*SUMPRODUCT(A13:A17,E13:E17)</f>
        <v>0</v>
      </c>
      <c r="F18" s="5">
        <f>F11*SUMPRODUCT(A13:A17,F13:F17)</f>
        <v>369.35340675259522</v>
      </c>
      <c r="G18" s="5">
        <f>G11*SUMPRODUCT(A13:A17,G13:G17)</f>
        <v>0</v>
      </c>
    </row>
    <row r="19" spans="1:11" ht="15.75" customHeight="1" x14ac:dyDescent="0.2">
      <c r="I19" s="4" t="s">
        <v>4</v>
      </c>
      <c r="J19" s="4">
        <f>SUMPRODUCT(A13:A17,K13:K17)</f>
        <v>99.999999000000003</v>
      </c>
      <c r="K19" s="6">
        <v>100</v>
      </c>
    </row>
    <row r="20" spans="1:11" ht="15.75" customHeight="1" x14ac:dyDescent="0.2">
      <c r="I20" s="4" t="s">
        <v>5</v>
      </c>
      <c r="J20" s="12">
        <f>SQRT(SUM(C18:G18))*SQRT(12)</f>
        <v>73.064342670350868</v>
      </c>
    </row>
    <row r="22" spans="1:11" ht="15.75" customHeight="1" x14ac:dyDescent="0.2">
      <c r="B22" s="1" t="s">
        <v>6</v>
      </c>
    </row>
    <row r="23" spans="1:11" ht="15.75" customHeight="1" x14ac:dyDescent="0.2">
      <c r="A23" s="4" t="s">
        <v>7</v>
      </c>
      <c r="B23">
        <v>100</v>
      </c>
      <c r="C23">
        <v>150</v>
      </c>
      <c r="D23">
        <v>200</v>
      </c>
      <c r="E23">
        <v>250</v>
      </c>
      <c r="F23">
        <v>300</v>
      </c>
      <c r="G23">
        <v>350</v>
      </c>
    </row>
    <row r="24" spans="1:11" ht="15.75" customHeight="1" x14ac:dyDescent="0.2">
      <c r="A24" s="4" t="s">
        <v>5</v>
      </c>
      <c r="B24" s="4">
        <v>73.06</v>
      </c>
      <c r="C24" s="4">
        <v>63.29</v>
      </c>
      <c r="D24" s="4">
        <v>60.5</v>
      </c>
      <c r="E24" s="4">
        <v>63.43</v>
      </c>
      <c r="F24" s="4">
        <v>71.540000000000006</v>
      </c>
      <c r="G24" s="4">
        <v>94.51</v>
      </c>
    </row>
    <row r="25" spans="1:11" ht="15.75" customHeight="1" x14ac:dyDescent="0.2">
      <c r="A25" s="1" t="s">
        <v>10</v>
      </c>
      <c r="B25" s="7">
        <v>0.38254724025862341</v>
      </c>
      <c r="C25" s="7">
        <v>0.5371428531579574</v>
      </c>
      <c r="D25" s="7">
        <v>0.59644197865806536</v>
      </c>
      <c r="E25" s="7">
        <v>0.65120479992092739</v>
      </c>
      <c r="F25" s="7">
        <v>0.65194830124954706</v>
      </c>
      <c r="G25" s="7">
        <v>0.51349833322326222</v>
      </c>
    </row>
    <row r="26" spans="1:11" ht="15.75" customHeight="1" x14ac:dyDescent="0.2">
      <c r="A26" s="1" t="s">
        <v>11</v>
      </c>
      <c r="B26" s="7">
        <v>0</v>
      </c>
      <c r="C26" s="7">
        <v>0</v>
      </c>
      <c r="D26" s="7">
        <v>0</v>
      </c>
      <c r="E26" s="7">
        <v>3.2328350887063984E-2</v>
      </c>
      <c r="F26" s="7">
        <v>9.7915257420247204E-2</v>
      </c>
      <c r="G26" s="7">
        <v>0.24090780017324129</v>
      </c>
    </row>
    <row r="27" spans="1:11" ht="15.75" customHeight="1" x14ac:dyDescent="0.2">
      <c r="A27" s="1" t="s">
        <v>12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</row>
    <row r="28" spans="1:11" ht="15.75" customHeight="1" x14ac:dyDescent="0.2">
      <c r="A28" s="1" t="s">
        <v>13</v>
      </c>
      <c r="B28" s="7">
        <v>0.61745275974137681</v>
      </c>
      <c r="C28" s="7">
        <v>0.41209367362599708</v>
      </c>
      <c r="D28" s="7">
        <v>0.2474463315454859</v>
      </c>
      <c r="E28" s="7">
        <v>0.10286137050203495</v>
      </c>
      <c r="F28" s="7">
        <v>0</v>
      </c>
      <c r="G28" s="7">
        <v>0</v>
      </c>
    </row>
    <row r="29" spans="1:11" ht="15.75" customHeight="1" x14ac:dyDescent="0.2">
      <c r="A29" s="1" t="s">
        <v>14</v>
      </c>
      <c r="B29" s="7">
        <v>0</v>
      </c>
      <c r="C29" s="7">
        <v>5.0763473216045296E-2</v>
      </c>
      <c r="D29" s="7">
        <v>0.15611168979644874</v>
      </c>
      <c r="E29" s="7">
        <v>0.21360547868997345</v>
      </c>
      <c r="F29" s="7">
        <v>0.25013644133020574</v>
      </c>
      <c r="G29" s="7">
        <v>0.24559386660349644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G16" sqref="G16"/>
    </sheetView>
  </sheetViews>
  <sheetFormatPr defaultColWidth="11.42578125" defaultRowHeight="12.75" x14ac:dyDescent="0.2"/>
  <cols>
    <col min="1" max="1" width="11" bestFit="1" customWidth="1"/>
    <col min="2" max="6" width="13.85546875" bestFit="1" customWidth="1"/>
  </cols>
  <sheetData>
    <row r="1" spans="1:6" s="8" customFormat="1" x14ac:dyDescent="0.2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</row>
    <row r="2" spans="1:6" x14ac:dyDescent="0.2">
      <c r="A2" s="9">
        <v>42674</v>
      </c>
      <c r="B2">
        <f>(745.69-700.96)/700.96*100</f>
        <v>6.3812485733850748</v>
      </c>
      <c r="C2">
        <f>(8.59-11)/11*100</f>
        <v>-21.90909090909091</v>
      </c>
      <c r="D2">
        <f>(0.006723-0.008196)/0.008196*100</f>
        <v>-17.972181551976576</v>
      </c>
      <c r="E2">
        <v>0</v>
      </c>
      <c r="F2">
        <f>(3.89-3.99)/3.99*100</f>
        <v>-2.5062656641604031</v>
      </c>
    </row>
    <row r="3" spans="1:6" x14ac:dyDescent="0.2">
      <c r="A3" s="9">
        <v>42704</v>
      </c>
      <c r="B3">
        <f>(963.74-745.69)/745.69*100</f>
        <v>29.24137376121444</v>
      </c>
      <c r="C3">
        <f>(7.97-8.59)/8.59*100</f>
        <v>-7.2176949941792801</v>
      </c>
      <c r="D3">
        <f>(0.006449-0.006723)/0.006723*100</f>
        <v>-4.0755615052803797</v>
      </c>
      <c r="E3">
        <v>0</v>
      </c>
      <c r="F3">
        <f>(4.33-3.89)/3.89*100</f>
        <v>11.311053984575834</v>
      </c>
    </row>
    <row r="4" spans="1:6" x14ac:dyDescent="0.2">
      <c r="A4" s="9">
        <v>42735</v>
      </c>
      <c r="B4">
        <f>(970.4-963.74)/963.74*100</f>
        <v>0.69105775416605808</v>
      </c>
      <c r="C4">
        <f>(10.73-7.97)/7.97*100</f>
        <v>34.629861982434143</v>
      </c>
      <c r="D4">
        <f>(0.006314-0.006449)/0.006449*100</f>
        <v>-2.0933478058613693</v>
      </c>
      <c r="E4">
        <v>0</v>
      </c>
      <c r="F4">
        <f>(4.08-4.33)/4.33*100</f>
        <v>-5.7736720554272516</v>
      </c>
    </row>
    <row r="5" spans="1:6" x14ac:dyDescent="0.2">
      <c r="A5" s="9">
        <v>42766</v>
      </c>
      <c r="B5">
        <f>(1179.97-970.4)/970.4*100</f>
        <v>21.596248969497118</v>
      </c>
      <c r="C5">
        <f>(15.82-10.73)/10.73*100</f>
        <v>47.437092264678469</v>
      </c>
      <c r="D5">
        <f>(0.005536-0.006314)/0.006314*100</f>
        <v>-12.321824516946469</v>
      </c>
      <c r="E5">
        <v>0</v>
      </c>
      <c r="F5">
        <f>(3.77-4.08)/4.08*100</f>
        <v>-7.598039215686275</v>
      </c>
    </row>
    <row r="6" spans="1:6" x14ac:dyDescent="0.2">
      <c r="A6" s="9">
        <v>42794</v>
      </c>
      <c r="B6">
        <v>2.5723472668810312</v>
      </c>
      <c r="C6">
        <f>(50.04-15.82)/15.82*100</f>
        <v>216.30847029077117</v>
      </c>
      <c r="D6">
        <f>(0.020889-0.005536)/0.005536*100</f>
        <v>277.33020231213874</v>
      </c>
      <c r="E6">
        <v>0</v>
      </c>
      <c r="F6">
        <f>(6.67-3.77)/3.77*100</f>
        <v>76.92307692307692</v>
      </c>
    </row>
    <row r="7" spans="1:6" x14ac:dyDescent="0.2">
      <c r="A7" s="9">
        <v>42825</v>
      </c>
      <c r="B7">
        <f>(1071.79-1179.97)/1179.97*100</f>
        <v>-9.1680296956702332</v>
      </c>
      <c r="C7">
        <f>(79.02-50.04)/50.04*100</f>
        <v>57.913669064748198</v>
      </c>
      <c r="D7">
        <f>(0.051607-0.020889)/0.020889*100</f>
        <v>147.05347311982382</v>
      </c>
      <c r="E7">
        <v>0</v>
      </c>
      <c r="F7">
        <f>(15.71-6.67)/6.67*100</f>
        <v>135.5322338830585</v>
      </c>
    </row>
    <row r="8" spans="1:6" x14ac:dyDescent="0.2">
      <c r="A8" s="9">
        <v>42855</v>
      </c>
      <c r="B8">
        <f>(1347.89-1071.79)/1071.79*100</f>
        <v>25.760643409623167</v>
      </c>
      <c r="C8">
        <f>(230.67-79.02)/79.02*100</f>
        <v>191.9134396355353</v>
      </c>
      <c r="D8">
        <f>(0.24659-0.051607)/0.051607*100</f>
        <v>377.82277598000275</v>
      </c>
      <c r="E8">
        <v>0</v>
      </c>
      <c r="F8">
        <f>(25.3-15.71)/15.71*100</f>
        <v>61.043921069382556</v>
      </c>
    </row>
    <row r="9" spans="1:6" x14ac:dyDescent="0.2">
      <c r="A9" s="9">
        <v>42886</v>
      </c>
      <c r="B9">
        <f>(2286.41-1347.89)/1347.89*100</f>
        <v>69.628827278190329</v>
      </c>
      <c r="C9">
        <f>(294.92-230.67)/230.67*100</f>
        <v>27.853643733472072</v>
      </c>
      <c r="D9">
        <f>(0.26293-0.24659)/0.24659*100</f>
        <v>6.6263838760695855</v>
      </c>
      <c r="E9">
        <v>0</v>
      </c>
      <c r="F9">
        <f>(40.35 -25.3)/25.3*100</f>
        <v>59.48616600790514</v>
      </c>
    </row>
    <row r="10" spans="1:6" x14ac:dyDescent="0.2">
      <c r="A10" s="9">
        <v>42916</v>
      </c>
      <c r="B10">
        <f>(2480.84-2286.41)/2286.41*100</f>
        <v>8.5037241789530444</v>
      </c>
      <c r="C10">
        <f>(203.87-294.92)/294.92*100</f>
        <v>-30.872779058727794</v>
      </c>
      <c r="D10">
        <f>(0.167386-0.26293)/0.26293*100</f>
        <v>-36.338188871562771</v>
      </c>
      <c r="E10">
        <f>(294.46-413.06)/413.06*100</f>
        <v>-28.71253570909796</v>
      </c>
      <c r="F10">
        <f>(43.02 -40.35)/40.35*100</f>
        <v>6.6171003717472159</v>
      </c>
    </row>
    <row r="11" spans="1:6" x14ac:dyDescent="0.2">
      <c r="A11" s="9">
        <v>42947</v>
      </c>
      <c r="B11">
        <f>(2875.34-2480.84)/2480.84*100</f>
        <v>15.90187194659873</v>
      </c>
      <c r="C11">
        <f>(383.04-203.87)/203.87*100</f>
        <v>87.884436160298236</v>
      </c>
      <c r="D11">
        <f>(0.25563-0.167386)/0.167386*100</f>
        <v>52.718865377032728</v>
      </c>
      <c r="E11">
        <f>(588.17-294.46 )/294.46 *100</f>
        <v>99.745296474903213</v>
      </c>
      <c r="F11">
        <f>(71.06-43.02)/43.02 *100</f>
        <v>65.178986517898636</v>
      </c>
    </row>
    <row r="12" spans="1:6" x14ac:dyDescent="0.2">
      <c r="A12" s="9">
        <v>42978</v>
      </c>
      <c r="B12">
        <f>(4703.39-2875.34)/2875.34*100</f>
        <v>63.576829174984525</v>
      </c>
      <c r="C12">
        <f>(301.46-383.04)/383.04*100</f>
        <v>-21.298036758563082</v>
      </c>
      <c r="D12">
        <f>(0.197529-0.25563)/0.25563*100</f>
        <v>-22.728552986738649</v>
      </c>
      <c r="E12">
        <f>(432.63-588.17)/588.17*100</f>
        <v>-26.444735365625583</v>
      </c>
      <c r="F12">
        <f>(55.14-71.06)/71.06*100</f>
        <v>-22.403602589361103</v>
      </c>
    </row>
    <row r="13" spans="1:6" x14ac:dyDescent="0.2">
      <c r="A13" s="9">
        <v>43008</v>
      </c>
      <c r="B13">
        <f>(4338.71-4703.39)/4703.39*100</f>
        <v>-7.7535564773493215</v>
      </c>
      <c r="C13">
        <f>(297.93-301.46)/301.46*100</f>
        <v>-1.1709679559477122</v>
      </c>
      <c r="D13">
        <f>(0.204604-0.197529)/0.197529*100</f>
        <v>3.581752552789716</v>
      </c>
      <c r="E13">
        <f>(332.13-432.63)/432.63*100</f>
        <v>-23.230011788364191</v>
      </c>
      <c r="F13">
        <f>(56.49-55.14)/55.14*100</f>
        <v>2.448313384113169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Sakhee Dheer</cp:lastModifiedBy>
  <dcterms:created xsi:type="dcterms:W3CDTF">2017-10-26T10:55:07Z</dcterms:created>
  <dcterms:modified xsi:type="dcterms:W3CDTF">2017-12-01T12:13:03Z</dcterms:modified>
</cp:coreProperties>
</file>