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9127"/>
  <workbookPr/>
  <mc:AlternateContent xmlns:mc="http://schemas.openxmlformats.org/markup-compatibility/2006">
    <mc:Choice Requires="x15">
      <x15ac:absPath xmlns:x15ac="http://schemas.microsoft.com/office/spreadsheetml/2010/11/ac" url="C:\Users\asans\Documents\Proyecto_H\Proyectos\Robot Arm\Robot-Arm-Private\"/>
    </mc:Choice>
  </mc:AlternateContent>
  <xr:revisionPtr revIDLastSave="0" documentId="13_ncr:1_{A5B9EDB0-C9CA-4E23-AC97-33A7FD651AC6}" xr6:coauthVersionLast="47" xr6:coauthVersionMax="47" xr10:uidLastSave="{00000000-0000-0000-0000-000000000000}"/>
  <bookViews>
    <workbookView xWindow="28665" yWindow="-1095" windowWidth="29070" windowHeight="15750" xr2:uid="{00000000-000D-0000-FFFF-FFFF00000000}"/>
  </bookViews>
  <sheets>
    <sheet name="TMC2209_Simple" sheetId="6" r:id="rId1"/>
    <sheet name="Pulse Generator (viewOnly)" sheetId="8" r:id="rId2"/>
    <sheet name="Pulse Generator" sheetId="5" r:id="rId3"/>
    <sheet name="Temp" sheetId="7" state="hidden" r:id="rId4"/>
  </sheets>
  <definedNames>
    <definedName name="A10000000">#REF!</definedName>
    <definedName name="A100000000">#REF!</definedName>
    <definedName name="A4294967295">#REF!</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43" i="6" l="1"/>
  <c r="F3" i="8" s="1"/>
  <c r="B30" i="6"/>
  <c r="B6" i="8"/>
  <c r="B28" i="6"/>
  <c r="B29" i="6" s="1"/>
  <c r="B20" i="6" s="1"/>
  <c r="B5" i="8" s="1"/>
  <c r="F7" i="7"/>
  <c r="F8" i="7"/>
  <c r="F9" i="7"/>
  <c r="F10" i="7"/>
  <c r="F11" i="7"/>
  <c r="F12" i="7"/>
  <c r="F13" i="7"/>
  <c r="F14" i="7"/>
  <c r="F6" i="7"/>
  <c r="E7" i="7"/>
  <c r="E8" i="7"/>
  <c r="E9" i="7"/>
  <c r="E10" i="7"/>
  <c r="E11" i="7"/>
  <c r="E12" i="7"/>
  <c r="E13" i="7"/>
  <c r="E14" i="7"/>
  <c r="E6" i="7"/>
  <c r="E3" i="7"/>
  <c r="E2" i="7"/>
  <c r="E1" i="7"/>
  <c r="B4" i="8"/>
  <c r="B13" i="8" s="1"/>
  <c r="B3" i="8"/>
  <c r="B25" i="6"/>
  <c r="B27" i="6" s="1"/>
  <c r="B14" i="6"/>
  <c r="B15" i="6" s="1"/>
  <c r="B11" i="6"/>
  <c r="B12" i="6" s="1"/>
  <c r="G4" i="6" l="1"/>
  <c r="G5" i="6" s="1"/>
  <c r="B10" i="8"/>
  <c r="B11" i="8" s="1"/>
  <c r="B12" i="8" s="1"/>
  <c r="B15" i="8" s="1"/>
  <c r="B31" i="6" s="1"/>
  <c r="B44" i="6" l="1"/>
  <c r="B16" i="8"/>
  <c r="B14" i="8"/>
  <c r="B19" i="8" s="1"/>
  <c r="F4" i="8"/>
  <c r="F5" i="8" s="1"/>
  <c r="G6" i="6" s="1"/>
  <c r="B53" i="6" l="1"/>
  <c r="B40" i="6"/>
  <c r="B47" i="6"/>
  <c r="B34" i="6"/>
  <c r="B36" i="6" s="1"/>
  <c r="B46" i="6"/>
  <c r="B45" i="6"/>
  <c r="B41" i="6"/>
  <c r="B42" i="6"/>
  <c r="B33" i="6"/>
  <c r="B32" i="6"/>
  <c r="B17" i="8"/>
  <c r="B18" i="8"/>
  <c r="F6" i="8"/>
  <c r="A4" i="7"/>
  <c r="A5" i="7" s="1"/>
  <c r="A6" i="7" s="1"/>
  <c r="B4" i="7"/>
  <c r="B5" i="7" s="1"/>
  <c r="B6" i="7" s="1"/>
  <c r="B7" i="7" s="1"/>
  <c r="B8" i="7" s="1"/>
  <c r="B9" i="7" s="1"/>
  <c r="B10" i="7" s="1"/>
  <c r="B11" i="7" s="1"/>
  <c r="B10" i="5"/>
  <c r="B13" i="5"/>
  <c r="B37" i="6" l="1"/>
  <c r="B38" i="6" s="1"/>
  <c r="B50" i="6"/>
  <c r="B49" i="6"/>
  <c r="B48" i="6"/>
  <c r="B35" i="6"/>
  <c r="B55" i="6"/>
  <c r="B54" i="6"/>
  <c r="B39" i="6"/>
  <c r="B11" i="5"/>
  <c r="B12" i="5" s="1"/>
  <c r="F4" i="5" s="1"/>
  <c r="F5" i="5" s="1"/>
  <c r="B52" i="6" l="1"/>
  <c r="B51" i="6"/>
  <c r="B16" i="5"/>
  <c r="B15" i="5"/>
  <c r="B14" i="5"/>
  <c r="B18" i="5" l="1"/>
  <c r="B17" i="5"/>
  <c r="F6" i="5"/>
  <c r="B19"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Andres Sanchez</author>
  </authors>
  <commentList>
    <comment ref="A2" authorId="0" shapeId="0" xr:uid="{3C05975C-4433-4B62-AD61-9CC432D37AA8}">
      <text>
        <r>
          <rPr>
            <b/>
            <sz val="9"/>
            <color indexed="81"/>
            <rFont val="Tahoma"/>
            <charset val="1"/>
          </rPr>
          <t>Andres Sanchez:</t>
        </r>
        <r>
          <rPr>
            <sz val="9"/>
            <color indexed="81"/>
            <rFont val="Tahoma"/>
            <charset val="1"/>
          </rPr>
          <t xml:space="preserve">
This parameter does not need to be adjusted unless the TMC2209 is configured to operate with an external clock (10–16 MHz). Otherwise, the internal clock is used by default at 12 MHz. 
The driver is not configured to use an external clock.</t>
        </r>
      </text>
    </comment>
    <comment ref="A16" authorId="0" shapeId="0" xr:uid="{93B0EFC7-7933-4555-BF8F-4664CC743401}">
      <text>
        <r>
          <rPr>
            <b/>
            <sz val="9"/>
            <color indexed="81"/>
            <rFont val="Tahoma"/>
            <charset val="1"/>
          </rPr>
          <t>Andres Sanchez:</t>
        </r>
        <r>
          <rPr>
            <sz val="9"/>
            <color indexed="81"/>
            <rFont val="Tahoma"/>
            <charset val="1"/>
          </rPr>
          <t xml:space="preserve">
Gear reduction ratio (motor_turns/output_turns)</t>
        </r>
      </text>
    </comment>
    <comment ref="A25" authorId="0" shapeId="0" xr:uid="{367DC9F8-A625-4E71-B799-5B7AD8527066}">
      <text>
        <r>
          <rPr>
            <b/>
            <sz val="9"/>
            <color indexed="81"/>
            <rFont val="Tahoma"/>
            <family val="2"/>
          </rPr>
          <t>Andres Sanchez:</t>
        </r>
        <r>
          <rPr>
            <sz val="9"/>
            <color indexed="81"/>
            <rFont val="Tahoma"/>
            <family val="2"/>
          </rPr>
          <t xml:space="preserve">
The TMC2209 and most Trinamic drivers specify the current they limit in RMS (Root Mean Square). (I_PEAK ≈ I_RMS * √2)
This is the effective current that actually flows through the coils when the driver modulates them in microstepping.
In the datasheet, the value provided is usually the RMS (nominal) current. The motor is designed to operate continuously at this current without overheating.</t>
        </r>
      </text>
    </comment>
    <comment ref="A27" authorId="0" shapeId="0" xr:uid="{6D946899-E995-4972-A6E1-003CBA935729}">
      <text>
        <r>
          <rPr>
            <b/>
            <sz val="9"/>
            <color indexed="81"/>
            <rFont val="Tahoma"/>
            <charset val="1"/>
          </rPr>
          <t>Andres Sanchez:</t>
        </r>
        <r>
          <rPr>
            <sz val="9"/>
            <color indexed="81"/>
            <rFont val="Tahoma"/>
            <charset val="1"/>
          </rPr>
          <t xml:space="preserve">
Connect the motor power supply and turn the integrated potentiometer until Vref reaches this value.</t>
        </r>
      </text>
    </comment>
    <comment ref="A28" authorId="0" shapeId="0" xr:uid="{AF2346FB-E87A-400C-87F5-17EEF568F746}">
      <text>
        <r>
          <rPr>
            <b/>
            <sz val="9"/>
            <color indexed="81"/>
            <rFont val="Tahoma"/>
            <charset val="1"/>
          </rPr>
          <t>Andres Sanchez:</t>
        </r>
        <r>
          <rPr>
            <sz val="9"/>
            <color indexed="81"/>
            <rFont val="Tahoma"/>
            <charset val="1"/>
          </rPr>
          <t xml:space="preserve">
Must not exceed f_CLK / 512.
For more information, see "Figure 13.1: STEP and DIR Timing, Input Pin Filter" in the TMC2209 datasheet.</t>
        </r>
      </text>
    </comment>
    <comment ref="A29" authorId="0" shapeId="0" xr:uid="{7513BB95-FB60-4DDF-9EE7-7C14A0CBC626}">
      <text>
        <r>
          <rPr>
            <b/>
            <sz val="9"/>
            <color indexed="81"/>
            <rFont val="Tahoma"/>
            <family val="2"/>
          </rPr>
          <t>Andres Sanchez:</t>
        </r>
        <r>
          <rPr>
            <sz val="9"/>
            <color indexed="81"/>
            <rFont val="Tahoma"/>
            <family val="2"/>
          </rPr>
          <t xml:space="preserve">
Must not exceed f_CLK / 2.
For more information, see "Figure 13.1: STEP and DIR Timing, Input Pin Filter" in the TMC2209 datasheet.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Andres Sanchez</author>
  </authors>
  <commentList>
    <comment ref="A11" authorId="0" shapeId="0" xr:uid="{1F0BB60B-61DA-4410-9F83-3C2605D7E476}">
      <text>
        <r>
          <rPr>
            <b/>
            <sz val="9"/>
            <color indexed="81"/>
            <rFont val="Tahoma"/>
            <family val="2"/>
          </rPr>
          <t>Andres Sanchez:</t>
        </r>
        <r>
          <rPr>
            <sz val="9"/>
            <color indexed="81"/>
            <rFont val="Tahoma"/>
            <family val="2"/>
          </rPr>
          <t xml:space="preserve">
The prescaler to be applied must be an integer greater than the calculated value, ensuring that the achievable pulse frequency does not exceed the specified maximum under any circumstances.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Andres Sanchez</author>
  </authors>
  <commentList>
    <comment ref="A11" authorId="0" shapeId="0" xr:uid="{37656C31-CC7A-47CC-80BA-2B3D632CF0BA}">
      <text>
        <r>
          <rPr>
            <b/>
            <sz val="9"/>
            <color indexed="81"/>
            <rFont val="Tahoma"/>
            <family val="2"/>
          </rPr>
          <t>Andres Sanchez:</t>
        </r>
        <r>
          <rPr>
            <sz val="9"/>
            <color indexed="81"/>
            <rFont val="Tahoma"/>
            <family val="2"/>
          </rPr>
          <t xml:space="preserve">
The prescaler to be applied must be an integer greater than the calculated value, ensuring that the achievable pulse frequency does not exceed the specified maximum under any circumstances.</t>
        </r>
      </text>
    </comment>
  </commentList>
</comments>
</file>

<file path=xl/sharedStrings.xml><?xml version="1.0" encoding="utf-8"?>
<sst xmlns="http://schemas.openxmlformats.org/spreadsheetml/2006/main" count="184" uniqueCount="74">
  <si>
    <t>Timer Main Clock Frequency (CK_PSC)</t>
  </si>
  <si>
    <t>Timer Count Clock Frequency (CK_CNT)</t>
  </si>
  <si>
    <t>Hz</t>
  </si>
  <si>
    <t>-</t>
  </si>
  <si>
    <t>Timer Resolution</t>
  </si>
  <si>
    <t>bits</t>
  </si>
  <si>
    <t>Timer Prescaler (TIMx_PSC)</t>
  </si>
  <si>
    <t>Real TIMx_PSC</t>
  </si>
  <si>
    <t>CALCULATOR</t>
  </si>
  <si>
    <t>ΔCCR</t>
  </si>
  <si>
    <t>TIMx_ARR</t>
  </si>
  <si>
    <t>PULSE GENERATOR INIT</t>
  </si>
  <si>
    <t>MaxPulseFreq</t>
  </si>
  <si>
    <t>PULSE GENERATOR</t>
  </si>
  <si>
    <t>MinΔCCR</t>
  </si>
  <si>
    <t>Real MaxPulseFreq (@ΔCCR=1)</t>
  </si>
  <si>
    <t>Reachable MaxPulseFreq (@ΔCCR=MinΔCCR)</t>
  </si>
  <si>
    <t>Reachable MinPulseFreq (@ΔCCR=TIMx_ARR)</t>
  </si>
  <si>
    <t>Worst Pulse Frequency resolution (@MinΔCCR)</t>
  </si>
  <si>
    <t>Best Pulse Frequency resolution (@ΔCCR=0)</t>
  </si>
  <si>
    <t>Worst Pulse Frequency resolution (@ΔCCR=1)</t>
  </si>
  <si>
    <t>Target Pulse Frequency</t>
  </si>
  <si>
    <t>Reached Pulse Frequency</t>
  </si>
  <si>
    <t>Pulse Frequency Reslolution</t>
  </si>
  <si>
    <t>TMC2209 INIT</t>
  </si>
  <si>
    <t>Microsteps</t>
  </si>
  <si>
    <t>Simple</t>
  </si>
  <si>
    <t>Uart</t>
  </si>
  <si>
    <t>Microstepping</t>
  </si>
  <si>
    <t>STEPPER MOTOR SPECIFICATIONS</t>
  </si>
  <si>
    <t>Amps/Phase</t>
  </si>
  <si>
    <t>A</t>
  </si>
  <si>
    <t>Resistance/Phase</t>
  </si>
  <si>
    <t>Ω</t>
  </si>
  <si>
    <t>Inductance/Phase</t>
  </si>
  <si>
    <t>mH</t>
  </si>
  <si>
    <t>Holding Torque</t>
  </si>
  <si>
    <t>Nm</t>
  </si>
  <si>
    <t>Step Angle</t>
  </si>
  <si>
    <t>º</t>
  </si>
  <si>
    <t>Min AngularVel</t>
  </si>
  <si>
    <t>rpm</t>
  </si>
  <si>
    <t>º/s</t>
  </si>
  <si>
    <t>rad/s</t>
  </si>
  <si>
    <t>Max AngularVel</t>
  </si>
  <si>
    <t>Reduction ratio</t>
  </si>
  <si>
    <t>I_RMS</t>
  </si>
  <si>
    <t>R_Sense</t>
  </si>
  <si>
    <t>V_REF</t>
  </si>
  <si>
    <t>V</t>
  </si>
  <si>
    <t>fclk</t>
  </si>
  <si>
    <t>Microstep</t>
  </si>
  <si>
    <t>Max_Fstep</t>
  </si>
  <si>
    <t>Absolute Max F_step</t>
  </si>
  <si>
    <t>Absolute Max F_fs</t>
  </si>
  <si>
    <t>Max F_FS</t>
  </si>
  <si>
    <t>Max Full Step Frequency (F_FS_max)</t>
  </si>
  <si>
    <t>TMC2209</t>
  </si>
  <si>
    <t>Max Step Frequency (F_Step_max)</t>
  </si>
  <si>
    <t>f_CLK</t>
  </si>
  <si>
    <t>Reachable Max Angular Velocity</t>
  </si>
  <si>
    <t>StepAngle</t>
  </si>
  <si>
    <t>Current configuration</t>
  </si>
  <si>
    <t>Max PulseFreq</t>
  </si>
  <si>
    <t>Motor output before reduction</t>
  </si>
  <si>
    <t>Worst Angular Velocity Resolution (@MaxAngVel)</t>
  </si>
  <si>
    <t>Best Angular Velocity Resolution (@MinAngVel)</t>
  </si>
  <si>
    <t>Motor output after reduction</t>
  </si>
  <si>
    <t>Target Angle</t>
  </si>
  <si>
    <t>Target Angular Velocity</t>
  </si>
  <si>
    <t>Nº of steps</t>
  </si>
  <si>
    <t>Reached Angle</t>
  </si>
  <si>
    <t>Reached Angular Velocity</t>
  </si>
  <si>
    <t>Reachable Min Angular Velocity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</si>
</sst>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0"/>
      <name val="Calibri"/>
      <family val="2"/>
      <scheme val="minor"/>
    </font>
    <font>
      <i/>
      <sz val="11"/>
      <color theme="1"/>
      <name val="Calibri"/>
      <family val="2"/>
      <scheme val="minor"/>
    </font>
    <font>
      <sz val="9"/>
      <color indexed="81"/>
      <name val="Tahoma"/>
      <family val="2"/>
    </font>
    <font>
      <b/>
      <sz val="9"/>
      <color indexed="81"/>
      <name val="Tahoma"/>
      <family val="2"/>
    </font>
    <font>
      <i/>
      <sz val="11"/>
      <color theme="1"/>
      <name val="Calibri"/>
      <family val="2"/>
    </font>
    <font>
      <sz val="9"/>
      <color indexed="81"/>
      <name val="Tahoma"/>
      <charset val="1"/>
    </font>
    <font>
      <b/>
      <sz val="9"/>
      <color indexed="81"/>
      <name val="Tahoma"/>
      <charset val="1"/>
    </font>
  </fonts>
  <fills count="16">
    <fill>
      <patternFill patternType="none"/>
    </fill>
    <fill>
      <patternFill patternType="gray125"/>
    </fill>
    <fill>
      <patternFill patternType="solid">
        <fgColor theme="4" tint="0.39997558519241921"/>
        <bgColor indexed="64"/>
      </patternFill>
    </fill>
    <fill>
      <patternFill patternType="solid">
        <fgColor theme="4" tint="-0.249977111117893"/>
        <bgColor indexed="64"/>
      </patternFill>
    </fill>
    <fill>
      <patternFill patternType="solid">
        <fgColor theme="1"/>
        <bgColor indexed="64"/>
      </patternFill>
    </fill>
    <fill>
      <patternFill patternType="solid">
        <fgColor theme="2" tint="-9.9978637043366805E-2"/>
        <bgColor indexed="64"/>
      </patternFill>
    </fill>
    <fill>
      <patternFill patternType="solid">
        <fgColor rgb="FFE0DEDE"/>
        <bgColor indexed="64"/>
      </patternFill>
    </fill>
    <fill>
      <patternFill patternType="solid">
        <fgColor theme="5" tint="0.39997558519241921"/>
        <bgColor indexed="64"/>
      </patternFill>
    </fill>
    <fill>
      <patternFill patternType="solid">
        <fgColor theme="5" tint="-0.249977111117893"/>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2" tint="-0.249977111117893"/>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0" tint="-0.34998626667073579"/>
        <bgColor indexed="64"/>
      </patternFill>
    </fill>
    <fill>
      <patternFill patternType="solid">
        <fgColor theme="4"/>
        <bgColor indexed="64"/>
      </patternFill>
    </fill>
  </fills>
  <borders count="7">
    <border>
      <left/>
      <right/>
      <top/>
      <bottom/>
      <diagonal/>
    </border>
    <border>
      <left/>
      <right/>
      <top/>
      <bottom style="medium">
        <color indexed="64"/>
      </bottom>
      <diagonal/>
    </border>
    <border>
      <left/>
      <right/>
      <top style="medium">
        <color indexed="64"/>
      </top>
      <bottom/>
      <diagonal/>
    </border>
    <border>
      <left/>
      <right/>
      <top style="medium">
        <color indexed="64"/>
      </top>
      <bottom style="thin">
        <color indexed="64"/>
      </bottom>
      <diagonal/>
    </border>
    <border>
      <left/>
      <right/>
      <top style="thin">
        <color indexed="64"/>
      </top>
      <bottom/>
      <diagonal/>
    </border>
    <border>
      <left/>
      <right/>
      <top/>
      <bottom style="thin">
        <color indexed="64"/>
      </bottom>
      <diagonal/>
    </border>
    <border>
      <left style="hair">
        <color indexed="64"/>
      </left>
      <right/>
      <top/>
      <bottom/>
      <diagonal/>
    </border>
  </borders>
  <cellStyleXfs count="1">
    <xf numFmtId="0" fontId="0" fillId="0" borderId="0"/>
  </cellStyleXfs>
  <cellXfs count="80">
    <xf numFmtId="0" fontId="0" fillId="0" borderId="0" xfId="0"/>
    <xf numFmtId="0" fontId="0" fillId="6" borderId="0" xfId="0" applyFill="1" applyProtection="1">
      <protection locked="0"/>
    </xf>
    <xf numFmtId="0" fontId="0" fillId="0" borderId="0" xfId="0" applyAlignment="1">
      <alignment vertical="center"/>
    </xf>
    <xf numFmtId="0" fontId="0" fillId="2" borderId="0" xfId="0" applyFill="1" applyAlignment="1">
      <alignment vertical="center"/>
    </xf>
    <xf numFmtId="0" fontId="0" fillId="6" borderId="0" xfId="0" applyFill="1" applyAlignment="1" applyProtection="1">
      <alignment vertical="center"/>
      <protection locked="0"/>
    </xf>
    <xf numFmtId="0" fontId="0" fillId="2" borderId="1" xfId="0" applyFill="1" applyBorder="1" applyAlignment="1">
      <alignment vertical="center"/>
    </xf>
    <xf numFmtId="49" fontId="2" fillId="0" borderId="0" xfId="0" applyNumberFormat="1" applyFont="1"/>
    <xf numFmtId="0" fontId="0" fillId="7" borderId="0" xfId="0" applyFill="1"/>
    <xf numFmtId="49" fontId="2" fillId="7" borderId="0" xfId="0" applyNumberFormat="1" applyFont="1" applyFill="1"/>
    <xf numFmtId="0" fontId="0" fillId="9" borderId="0" xfId="0" applyFill="1"/>
    <xf numFmtId="49" fontId="2" fillId="9" borderId="0" xfId="0" applyNumberFormat="1" applyFont="1" applyFill="1"/>
    <xf numFmtId="0" fontId="0" fillId="10" borderId="0" xfId="0" applyFill="1" applyProtection="1">
      <protection locked="0"/>
    </xf>
    <xf numFmtId="49" fontId="0" fillId="0" borderId="0" xfId="0" applyNumberFormat="1" applyAlignment="1">
      <alignment horizontal="left" vertical="center"/>
    </xf>
    <xf numFmtId="49" fontId="2" fillId="0" borderId="0" xfId="0" applyNumberFormat="1" applyFont="1" applyAlignment="1">
      <alignment vertical="center"/>
    </xf>
    <xf numFmtId="0" fontId="0" fillId="7" borderId="0" xfId="0" applyFill="1" applyAlignment="1">
      <alignment horizontal="right"/>
    </xf>
    <xf numFmtId="49" fontId="0" fillId="5" borderId="0" xfId="0" applyNumberFormat="1" applyFill="1" applyAlignment="1">
      <alignment horizontal="left" vertical="center"/>
    </xf>
    <xf numFmtId="49" fontId="2" fillId="5" borderId="0" xfId="0" applyNumberFormat="1" applyFont="1" applyFill="1" applyAlignment="1">
      <alignment vertical="center"/>
    </xf>
    <xf numFmtId="49" fontId="0" fillId="5" borderId="0" xfId="0" applyNumberFormat="1" applyFill="1" applyAlignment="1">
      <alignment horizontal="left"/>
    </xf>
    <xf numFmtId="49" fontId="2" fillId="5" borderId="0" xfId="0" applyNumberFormat="1" applyFont="1" applyFill="1" applyAlignment="1">
      <alignment horizontal="left" vertical="center"/>
    </xf>
    <xf numFmtId="49" fontId="0" fillId="0" borderId="0" xfId="0" applyNumberFormat="1" applyAlignment="1">
      <alignment horizontal="left"/>
    </xf>
    <xf numFmtId="49" fontId="0" fillId="0" borderId="0" xfId="0" applyNumberFormat="1"/>
    <xf numFmtId="49" fontId="0" fillId="2" borderId="0" xfId="0" applyNumberFormat="1" applyFill="1" applyAlignment="1">
      <alignment horizontal="left" vertical="center"/>
    </xf>
    <xf numFmtId="49" fontId="2" fillId="2" borderId="0" xfId="0" applyNumberFormat="1" applyFont="1" applyFill="1" applyAlignment="1">
      <alignment vertical="center"/>
    </xf>
    <xf numFmtId="49" fontId="0" fillId="2" borderId="1" xfId="0" applyNumberFormat="1" applyFill="1" applyBorder="1" applyAlignment="1">
      <alignment horizontal="left" vertical="center"/>
    </xf>
    <xf numFmtId="49" fontId="2" fillId="2" borderId="1" xfId="0" applyNumberFormat="1" applyFont="1" applyFill="1" applyBorder="1" applyAlignment="1">
      <alignment vertical="center"/>
    </xf>
    <xf numFmtId="49" fontId="0" fillId="2" borderId="1" xfId="0" applyNumberFormat="1" applyFill="1" applyBorder="1" applyAlignment="1">
      <alignment horizontal="left" vertical="center" wrapText="1"/>
    </xf>
    <xf numFmtId="49" fontId="0" fillId="2" borderId="0" xfId="0" applyNumberFormat="1" applyFill="1" applyAlignment="1">
      <alignment horizontal="left" vertical="center" wrapText="1"/>
    </xf>
    <xf numFmtId="0" fontId="0" fillId="5" borderId="0" xfId="0" applyFill="1" applyAlignment="1">
      <alignment vertical="center"/>
    </xf>
    <xf numFmtId="0" fontId="0" fillId="11" borderId="0" xfId="0" applyFill="1" applyAlignment="1">
      <alignment vertical="center"/>
    </xf>
    <xf numFmtId="0" fontId="0" fillId="11" borderId="1" xfId="0" applyFill="1" applyBorder="1" applyAlignment="1">
      <alignment vertical="center"/>
    </xf>
    <xf numFmtId="0" fontId="0" fillId="5" borderId="1" xfId="0" applyFill="1" applyBorder="1" applyAlignment="1">
      <alignment vertical="center"/>
    </xf>
    <xf numFmtId="0" fontId="0" fillId="6" borderId="1" xfId="0" applyFill="1" applyBorder="1" applyAlignment="1" applyProtection="1">
      <alignment vertical="center"/>
      <protection locked="0"/>
    </xf>
    <xf numFmtId="49" fontId="5" fillId="5" borderId="0" xfId="0" applyNumberFormat="1" applyFont="1" applyFill="1" applyAlignment="1">
      <alignment vertical="center"/>
    </xf>
    <xf numFmtId="49" fontId="2" fillId="5" borderId="1" xfId="0" applyNumberFormat="1" applyFont="1" applyFill="1" applyBorder="1" applyAlignment="1">
      <alignment vertical="center"/>
    </xf>
    <xf numFmtId="49" fontId="2" fillId="11" borderId="0" xfId="0" applyNumberFormat="1" applyFont="1" applyFill="1" applyAlignment="1">
      <alignment vertical="center"/>
    </xf>
    <xf numFmtId="49" fontId="2" fillId="11" borderId="1" xfId="0" applyNumberFormat="1" applyFont="1" applyFill="1" applyBorder="1" applyAlignment="1">
      <alignment vertical="center"/>
    </xf>
    <xf numFmtId="49" fontId="0" fillId="5" borderId="0" xfId="0" applyNumberFormat="1" applyFill="1"/>
    <xf numFmtId="0" fontId="0" fillId="6" borderId="0" xfId="0" applyFill="1"/>
    <xf numFmtId="2" fontId="0" fillId="2" borderId="0" xfId="0" applyNumberFormat="1" applyFill="1" applyAlignment="1">
      <alignment vertical="center"/>
    </xf>
    <xf numFmtId="0" fontId="2" fillId="2" borderId="0" xfId="0" applyFont="1" applyFill="1" applyAlignment="1">
      <alignment vertical="center"/>
    </xf>
    <xf numFmtId="0" fontId="0" fillId="12" borderId="0" xfId="0" applyFill="1" applyAlignment="1">
      <alignment vertical="center"/>
    </xf>
    <xf numFmtId="0" fontId="0" fillId="13" borderId="0" xfId="0" applyFill="1" applyAlignment="1" applyProtection="1">
      <alignment vertical="center"/>
      <protection locked="0"/>
    </xf>
    <xf numFmtId="0" fontId="5" fillId="12" borderId="0" xfId="0" applyFont="1" applyFill="1" applyAlignment="1">
      <alignment vertical="center"/>
    </xf>
    <xf numFmtId="2" fontId="0" fillId="2" borderId="1" xfId="0" applyNumberFormat="1" applyFill="1" applyBorder="1" applyAlignment="1">
      <alignment vertical="center"/>
    </xf>
    <xf numFmtId="0" fontId="2" fillId="2" borderId="1" xfId="0" applyFont="1" applyFill="1" applyBorder="1" applyAlignment="1">
      <alignment vertical="center"/>
    </xf>
    <xf numFmtId="49" fontId="0" fillId="14" borderId="0" xfId="0" applyNumberFormat="1" applyFill="1" applyAlignment="1">
      <alignment horizontal="left" vertical="center"/>
    </xf>
    <xf numFmtId="0" fontId="0" fillId="14" borderId="0" xfId="0" applyFill="1" applyAlignment="1">
      <alignment vertical="center"/>
    </xf>
    <xf numFmtId="49" fontId="2" fillId="14" borderId="0" xfId="0" applyNumberFormat="1" applyFont="1" applyFill="1" applyAlignment="1">
      <alignment vertical="center"/>
    </xf>
    <xf numFmtId="49" fontId="0" fillId="14" borderId="0" xfId="0" applyNumberFormat="1" applyFill="1" applyAlignment="1">
      <alignment horizontal="left"/>
    </xf>
    <xf numFmtId="49" fontId="2" fillId="14" borderId="0" xfId="0" applyNumberFormat="1" applyFont="1" applyFill="1" applyAlignment="1">
      <alignment horizontal="left" vertical="center"/>
    </xf>
    <xf numFmtId="0" fontId="0" fillId="5" borderId="0" xfId="0" applyFill="1" applyAlignment="1" applyProtection="1">
      <alignment vertical="center"/>
      <protection locked="0"/>
    </xf>
    <xf numFmtId="0" fontId="0" fillId="2" borderId="1" xfId="0" applyFill="1" applyBorder="1"/>
    <xf numFmtId="49" fontId="0" fillId="2" borderId="1" xfId="0" applyNumberFormat="1" applyFill="1" applyBorder="1"/>
    <xf numFmtId="0" fontId="0" fillId="2" borderId="0" xfId="0" applyFill="1"/>
    <xf numFmtId="49" fontId="0" fillId="2" borderId="0" xfId="0" applyNumberFormat="1" applyFill="1"/>
    <xf numFmtId="0" fontId="0" fillId="2" borderId="3" xfId="0" applyFill="1" applyBorder="1"/>
    <xf numFmtId="49" fontId="0" fillId="2" borderId="3" xfId="0" applyNumberFormat="1" applyFill="1" applyBorder="1"/>
    <xf numFmtId="0" fontId="0" fillId="2" borderId="4" xfId="0" applyFill="1" applyBorder="1"/>
    <xf numFmtId="49" fontId="0" fillId="2" borderId="4" xfId="0" applyNumberFormat="1" applyFill="1" applyBorder="1"/>
    <xf numFmtId="0" fontId="0" fillId="2" borderId="5" xfId="0" applyFill="1" applyBorder="1"/>
    <xf numFmtId="49" fontId="0" fillId="2" borderId="5" xfId="0" applyNumberFormat="1" applyFill="1" applyBorder="1"/>
    <xf numFmtId="0" fontId="0" fillId="0" borderId="6" xfId="0" applyBorder="1"/>
    <xf numFmtId="0" fontId="1" fillId="8" borderId="0" xfId="0" applyFont="1" applyFill="1" applyAlignment="1">
      <alignment horizontal="center" vertical="center"/>
    </xf>
    <xf numFmtId="0" fontId="0" fillId="2" borderId="0" xfId="0" applyFill="1" applyAlignment="1">
      <alignment horizontal="left" vertical="center" wrapText="1"/>
    </xf>
    <xf numFmtId="0" fontId="0" fillId="2" borderId="1" xfId="0" applyFill="1" applyBorder="1" applyAlignment="1">
      <alignment horizontal="left" vertical="center" wrapText="1"/>
    </xf>
    <xf numFmtId="0" fontId="1" fillId="15" borderId="2" xfId="0" applyFont="1" applyFill="1" applyBorder="1" applyAlignment="1">
      <alignment horizontal="center" vertical="center" wrapText="1"/>
    </xf>
    <xf numFmtId="0" fontId="1" fillId="15" borderId="0" xfId="0" applyFont="1" applyFill="1" applyAlignment="1">
      <alignment horizontal="center" vertical="center" wrapText="1"/>
    </xf>
    <xf numFmtId="0" fontId="1" fillId="15" borderId="1" xfId="0" applyFont="1" applyFill="1" applyBorder="1" applyAlignment="1">
      <alignment horizontal="center" vertical="center" wrapText="1"/>
    </xf>
    <xf numFmtId="0" fontId="0" fillId="2" borderId="4" xfId="0" applyFill="1" applyBorder="1" applyAlignment="1">
      <alignment horizontal="left" vertical="center"/>
    </xf>
    <xf numFmtId="0" fontId="0" fillId="2" borderId="0" xfId="0" applyFill="1" applyAlignment="1">
      <alignment horizontal="left" vertical="center"/>
    </xf>
    <xf numFmtId="0" fontId="0" fillId="2" borderId="5" xfId="0" applyFill="1" applyBorder="1" applyAlignment="1">
      <alignment horizontal="left" vertical="center"/>
    </xf>
    <xf numFmtId="0" fontId="0" fillId="2" borderId="4" xfId="0" applyFill="1" applyBorder="1" applyAlignment="1">
      <alignment horizontal="left" vertical="center" wrapText="1"/>
    </xf>
    <xf numFmtId="0" fontId="0" fillId="2" borderId="5" xfId="0" applyFill="1" applyBorder="1" applyAlignment="1">
      <alignment horizontal="left" vertical="center" wrapText="1"/>
    </xf>
    <xf numFmtId="0" fontId="1" fillId="15" borderId="2" xfId="0" applyFont="1" applyFill="1" applyBorder="1" applyAlignment="1">
      <alignment horizontal="center" vertical="center"/>
    </xf>
    <xf numFmtId="0" fontId="1" fillId="15" borderId="1" xfId="0" applyFont="1" applyFill="1" applyBorder="1" applyAlignment="1">
      <alignment horizontal="center" vertical="center"/>
    </xf>
    <xf numFmtId="0" fontId="1" fillId="4" borderId="0" xfId="0" applyFont="1" applyFill="1" applyAlignment="1">
      <alignment horizontal="center" vertical="center"/>
    </xf>
    <xf numFmtId="0" fontId="0" fillId="5" borderId="0" xfId="0" applyFill="1" applyAlignment="1">
      <alignment horizontal="left" vertical="center"/>
    </xf>
    <xf numFmtId="0" fontId="0" fillId="5" borderId="1" xfId="0" applyFill="1" applyBorder="1" applyAlignment="1">
      <alignment horizontal="left" vertical="center"/>
    </xf>
    <xf numFmtId="0" fontId="1" fillId="3" borderId="0" xfId="0" applyFont="1" applyFill="1" applyAlignment="1">
      <alignment horizontal="center" vertical="center"/>
    </xf>
    <xf numFmtId="0" fontId="0" fillId="0" borderId="0" xfId="0" applyAlignment="1">
      <alignment horizontal="center"/>
    </xf>
  </cellXfs>
  <cellStyles count="1">
    <cellStyle name="Normal" xfId="0" builtinId="0"/>
  </cellStyles>
  <dxfs count="11">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2" defaultPivotStyle="PivotStyleLight16"/>
  <colors>
    <mruColors>
      <color rgb="FFE0DED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60960</xdr:colOff>
      <xdr:row>0</xdr:row>
      <xdr:rowOff>152400</xdr:rowOff>
    </xdr:from>
    <xdr:to>
      <xdr:col>12</xdr:col>
      <xdr:colOff>465139</xdr:colOff>
      <xdr:row>14</xdr:row>
      <xdr:rowOff>44340</xdr:rowOff>
    </xdr:to>
    <xdr:pic>
      <xdr:nvPicPr>
        <xdr:cNvPr id="2" name="Imagen 1">
          <a:extLst>
            <a:ext uri="{FF2B5EF4-FFF2-40B4-BE49-F238E27FC236}">
              <a16:creationId xmlns:a16="http://schemas.microsoft.com/office/drawing/2014/main" id="{EE26268D-8B69-63E9-62FC-E4B8E73E770E}"/>
            </a:ext>
          </a:extLst>
        </xdr:cNvPr>
        <xdr:cNvPicPr>
          <a:picLocks noChangeAspect="1"/>
        </xdr:cNvPicPr>
      </xdr:nvPicPr>
      <xdr:blipFill>
        <a:blip xmlns:r="http://schemas.openxmlformats.org/officeDocument/2006/relationships" r:embed="rId1"/>
        <a:stretch>
          <a:fillRect/>
        </a:stretch>
      </xdr:blipFill>
      <xdr:spPr>
        <a:xfrm>
          <a:off x="4815840" y="152400"/>
          <a:ext cx="5159059" cy="245226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DA85CF-9424-4C17-B966-2E949418E663}">
  <dimension ref="A1:H55"/>
  <sheetViews>
    <sheetView tabSelected="1" workbookViewId="0">
      <selection activeCell="G4" sqref="G4"/>
    </sheetView>
  </sheetViews>
  <sheetFormatPr baseColWidth="10" defaultRowHeight="14.4" x14ac:dyDescent="0.3"/>
  <cols>
    <col min="1" max="1" width="37.88671875" customWidth="1"/>
    <col min="2" max="2" width="12" bestFit="1" customWidth="1"/>
    <col min="3" max="3" width="11.5546875" style="20"/>
    <col min="4" max="4" width="16" customWidth="1"/>
    <col min="5" max="5" width="18.21875" customWidth="1"/>
    <col min="6" max="6" width="23.109375" customWidth="1"/>
  </cols>
  <sheetData>
    <row r="1" spans="1:8" x14ac:dyDescent="0.3">
      <c r="A1" s="75" t="s">
        <v>24</v>
      </c>
      <c r="B1" s="75"/>
      <c r="C1" s="75"/>
      <c r="F1" s="62" t="s">
        <v>8</v>
      </c>
      <c r="G1" s="62"/>
      <c r="H1" s="62"/>
    </row>
    <row r="2" spans="1:8" x14ac:dyDescent="0.3">
      <c r="A2" s="15" t="s">
        <v>59</v>
      </c>
      <c r="B2" s="50">
        <v>12000000</v>
      </c>
      <c r="C2" s="16" t="s">
        <v>2</v>
      </c>
      <c r="F2" s="9" t="s">
        <v>68</v>
      </c>
      <c r="G2" s="11">
        <v>360</v>
      </c>
      <c r="H2" s="10" t="s">
        <v>39</v>
      </c>
    </row>
    <row r="3" spans="1:8" x14ac:dyDescent="0.3">
      <c r="A3" s="15" t="s">
        <v>25</v>
      </c>
      <c r="B3" s="4">
        <v>8</v>
      </c>
      <c r="C3" s="16" t="s">
        <v>3</v>
      </c>
      <c r="F3" s="9" t="s">
        <v>69</v>
      </c>
      <c r="G3" s="11">
        <v>90</v>
      </c>
      <c r="H3" s="10" t="s">
        <v>42</v>
      </c>
    </row>
    <row r="4" spans="1:8" x14ac:dyDescent="0.3">
      <c r="A4" s="75" t="s">
        <v>29</v>
      </c>
      <c r="B4" s="75"/>
      <c r="C4" s="75"/>
      <c r="F4" s="7" t="s">
        <v>70</v>
      </c>
      <c r="G4" s="14">
        <f>INT(G2/B43)</f>
        <v>41600</v>
      </c>
      <c r="H4" s="8" t="s">
        <v>3</v>
      </c>
    </row>
    <row r="5" spans="1:8" x14ac:dyDescent="0.3">
      <c r="A5" s="27" t="s">
        <v>30</v>
      </c>
      <c r="B5" s="4">
        <v>1.5</v>
      </c>
      <c r="C5" s="16" t="s">
        <v>31</v>
      </c>
      <c r="F5" s="7" t="s">
        <v>71</v>
      </c>
      <c r="G5" s="7">
        <f>G4*B43</f>
        <v>360</v>
      </c>
      <c r="H5" s="8" t="s">
        <v>39</v>
      </c>
    </row>
    <row r="6" spans="1:8" x14ac:dyDescent="0.3">
      <c r="A6" s="27" t="s">
        <v>32</v>
      </c>
      <c r="B6" s="4">
        <v>2.2999999999999998</v>
      </c>
      <c r="C6" s="32" t="s">
        <v>33</v>
      </c>
      <c r="F6" s="7" t="s">
        <v>72</v>
      </c>
      <c r="G6" s="7">
        <f>'Pulse Generator (viewOnly)'!F5*TMC2209_Simple!B43</f>
        <v>90.188967360183241</v>
      </c>
      <c r="H6" s="8" t="s">
        <v>42</v>
      </c>
    </row>
    <row r="7" spans="1:8" ht="15" thickBot="1" x14ac:dyDescent="0.35">
      <c r="A7" s="30" t="s">
        <v>34</v>
      </c>
      <c r="B7" s="31">
        <v>4</v>
      </c>
      <c r="C7" s="33" t="s">
        <v>35</v>
      </c>
    </row>
    <row r="8" spans="1:8" x14ac:dyDescent="0.3">
      <c r="A8" s="27" t="s">
        <v>36</v>
      </c>
      <c r="B8" s="4">
        <v>0.42</v>
      </c>
      <c r="C8" s="16" t="s">
        <v>37</v>
      </c>
    </row>
    <row r="9" spans="1:8" x14ac:dyDescent="0.3">
      <c r="A9" s="27" t="s">
        <v>38</v>
      </c>
      <c r="B9" s="4">
        <v>1.8</v>
      </c>
      <c r="C9" s="16" t="s">
        <v>39</v>
      </c>
    </row>
    <row r="10" spans="1:8" x14ac:dyDescent="0.3">
      <c r="A10" s="76" t="s">
        <v>40</v>
      </c>
      <c r="B10" s="4">
        <v>50</v>
      </c>
      <c r="C10" s="16" t="s">
        <v>41</v>
      </c>
    </row>
    <row r="11" spans="1:8" x14ac:dyDescent="0.3">
      <c r="A11" s="76"/>
      <c r="B11" s="28">
        <f>B10/60*360</f>
        <v>300</v>
      </c>
      <c r="C11" s="34" t="s">
        <v>42</v>
      </c>
    </row>
    <row r="12" spans="1:8" x14ac:dyDescent="0.3">
      <c r="A12" s="76"/>
      <c r="B12" s="28">
        <f>RADIANS(B11)</f>
        <v>5.2359877559829888</v>
      </c>
      <c r="C12" s="34" t="s">
        <v>43</v>
      </c>
    </row>
    <row r="13" spans="1:8" x14ac:dyDescent="0.3">
      <c r="A13" s="76" t="s">
        <v>44</v>
      </c>
      <c r="B13" s="4">
        <v>800</v>
      </c>
      <c r="C13" s="16" t="s">
        <v>41</v>
      </c>
    </row>
    <row r="14" spans="1:8" x14ac:dyDescent="0.3">
      <c r="A14" s="76"/>
      <c r="B14" s="28">
        <f>B13/60*360</f>
        <v>4800</v>
      </c>
      <c r="C14" s="34" t="s">
        <v>42</v>
      </c>
    </row>
    <row r="15" spans="1:8" ht="15" thickBot="1" x14ac:dyDescent="0.35">
      <c r="A15" s="77"/>
      <c r="B15" s="29">
        <f>RADIANS(B14)</f>
        <v>83.775804095727821</v>
      </c>
      <c r="C15" s="35" t="s">
        <v>43</v>
      </c>
    </row>
    <row r="16" spans="1:8" x14ac:dyDescent="0.3">
      <c r="A16" s="27" t="s">
        <v>45</v>
      </c>
      <c r="B16" s="37">
        <v>26</v>
      </c>
      <c r="C16" s="36" t="s">
        <v>3</v>
      </c>
    </row>
    <row r="17" spans="1:4" x14ac:dyDescent="0.3">
      <c r="A17" s="75" t="s">
        <v>11</v>
      </c>
      <c r="B17" s="75"/>
      <c r="C17" s="75"/>
    </row>
    <row r="18" spans="1:4" x14ac:dyDescent="0.3">
      <c r="A18" s="15" t="s">
        <v>0</v>
      </c>
      <c r="B18" s="4">
        <v>84000000</v>
      </c>
      <c r="C18" s="16" t="s">
        <v>2</v>
      </c>
    </row>
    <row r="19" spans="1:4" x14ac:dyDescent="0.3">
      <c r="A19" s="17" t="s">
        <v>4</v>
      </c>
      <c r="B19" s="1">
        <v>32</v>
      </c>
      <c r="C19" s="18" t="s">
        <v>5</v>
      </c>
    </row>
    <row r="20" spans="1:4" x14ac:dyDescent="0.3">
      <c r="A20" s="45" t="s">
        <v>12</v>
      </c>
      <c r="B20" s="46">
        <f>B29</f>
        <v>21333.333333333332</v>
      </c>
      <c r="C20" s="47" t="s">
        <v>2</v>
      </c>
    </row>
    <row r="21" spans="1:4" x14ac:dyDescent="0.3">
      <c r="A21" s="15" t="s">
        <v>14</v>
      </c>
      <c r="B21" s="4">
        <v>200</v>
      </c>
      <c r="C21" s="16" t="s">
        <v>3</v>
      </c>
    </row>
    <row r="24" spans="1:4" x14ac:dyDescent="0.3">
      <c r="A24" s="78" t="s">
        <v>57</v>
      </c>
      <c r="B24" s="78"/>
      <c r="C24" s="78"/>
    </row>
    <row r="25" spans="1:4" x14ac:dyDescent="0.3">
      <c r="A25" s="3" t="s">
        <v>46</v>
      </c>
      <c r="B25" s="38">
        <f>B5</f>
        <v>1.5</v>
      </c>
      <c r="C25" s="39" t="s">
        <v>31</v>
      </c>
      <c r="D25" s="66" t="s">
        <v>62</v>
      </c>
    </row>
    <row r="26" spans="1:4" x14ac:dyDescent="0.3">
      <c r="A26" s="40" t="s">
        <v>47</v>
      </c>
      <c r="B26" s="41">
        <v>0.11</v>
      </c>
      <c r="C26" s="42" t="s">
        <v>33</v>
      </c>
      <c r="D26" s="66"/>
    </row>
    <row r="27" spans="1:4" ht="15" thickBot="1" x14ac:dyDescent="0.35">
      <c r="A27" s="5" t="s">
        <v>48</v>
      </c>
      <c r="B27" s="43">
        <f>B25*SQRT(2)*(B26+0.02)*2.5/0.325</f>
        <v>2.1213203435596428</v>
      </c>
      <c r="C27" s="44" t="s">
        <v>49</v>
      </c>
      <c r="D27" s="67"/>
    </row>
    <row r="28" spans="1:4" x14ac:dyDescent="0.3">
      <c r="A28" s="21" t="s">
        <v>56</v>
      </c>
      <c r="B28" s="3">
        <f>B14/B9</f>
        <v>2666.6666666666665</v>
      </c>
      <c r="C28" s="22" t="s">
        <v>2</v>
      </c>
      <c r="D28" s="73" t="s">
        <v>63</v>
      </c>
    </row>
    <row r="29" spans="1:4" ht="15" thickBot="1" x14ac:dyDescent="0.35">
      <c r="A29" s="23" t="s">
        <v>58</v>
      </c>
      <c r="B29" s="51">
        <f>B28*B3</f>
        <v>21333.333333333332</v>
      </c>
      <c r="C29" s="52" t="s">
        <v>2</v>
      </c>
      <c r="D29" s="74"/>
    </row>
    <row r="30" spans="1:4" ht="14.4" customHeight="1" x14ac:dyDescent="0.3">
      <c r="A30" s="55" t="s">
        <v>61</v>
      </c>
      <c r="B30" s="55">
        <f>$B$9/$B$3</f>
        <v>0.22500000000000001</v>
      </c>
      <c r="C30" s="56" t="s">
        <v>39</v>
      </c>
      <c r="D30" s="65" t="s">
        <v>64</v>
      </c>
    </row>
    <row r="31" spans="1:4" x14ac:dyDescent="0.3">
      <c r="A31" s="68" t="s">
        <v>60</v>
      </c>
      <c r="B31" s="57">
        <f>$B$30*'Pulse Generator (viewOnly)'!$B$15</f>
        <v>4725</v>
      </c>
      <c r="C31" s="58" t="s">
        <v>42</v>
      </c>
      <c r="D31" s="66"/>
    </row>
    <row r="32" spans="1:4" x14ac:dyDescent="0.3">
      <c r="A32" s="69"/>
      <c r="B32" s="53">
        <f>RADIANS(B31)</f>
        <v>82.466807156732074</v>
      </c>
      <c r="C32" s="54" t="s">
        <v>43</v>
      </c>
      <c r="D32" s="66"/>
    </row>
    <row r="33" spans="1:7" x14ac:dyDescent="0.3">
      <c r="A33" s="70"/>
      <c r="B33" s="59">
        <f>B31/360*60</f>
        <v>787.5</v>
      </c>
      <c r="C33" s="60" t="s">
        <v>41</v>
      </c>
      <c r="D33" s="66"/>
    </row>
    <row r="34" spans="1:7" x14ac:dyDescent="0.3">
      <c r="A34" s="68" t="s">
        <v>73</v>
      </c>
      <c r="B34" s="57">
        <f>$B$30*'Pulse Generator (viewOnly)'!$B$16</f>
        <v>2.2002495830413535E-4</v>
      </c>
      <c r="C34" s="58" t="s">
        <v>42</v>
      </c>
      <c r="D34" s="66"/>
    </row>
    <row r="35" spans="1:7" x14ac:dyDescent="0.3">
      <c r="A35" s="69"/>
      <c r="B35" s="53">
        <f>RADIANS(B34)</f>
        <v>3.8401599589704007E-6</v>
      </c>
      <c r="C35" s="54" t="s">
        <v>43</v>
      </c>
      <c r="D35" s="66"/>
    </row>
    <row r="36" spans="1:7" x14ac:dyDescent="0.3">
      <c r="A36" s="70"/>
      <c r="B36" s="59">
        <f>B34/360*60</f>
        <v>3.6670826384022559E-5</v>
      </c>
      <c r="C36" s="60" t="s">
        <v>41</v>
      </c>
      <c r="D36" s="66"/>
      <c r="G36" s="61"/>
    </row>
    <row r="37" spans="1:7" x14ac:dyDescent="0.3">
      <c r="A37" s="71" t="s">
        <v>65</v>
      </c>
      <c r="B37" s="57">
        <f>$B$30*'Pulse Generator (viewOnly)'!$B$18</f>
        <v>23.507462686567351</v>
      </c>
      <c r="C37" s="58" t="s">
        <v>42</v>
      </c>
      <c r="D37" s="66"/>
    </row>
    <row r="38" spans="1:7" x14ac:dyDescent="0.3">
      <c r="A38" s="63"/>
      <c r="B38" s="53">
        <f>RADIANS(B37)</f>
        <v>0.41028262267031207</v>
      </c>
      <c r="C38" s="54" t="s">
        <v>43</v>
      </c>
      <c r="D38" s="66"/>
    </row>
    <row r="39" spans="1:7" x14ac:dyDescent="0.3">
      <c r="A39" s="72"/>
      <c r="B39" s="59">
        <f>B37/360*60</f>
        <v>3.9179104477612254</v>
      </c>
      <c r="C39" s="60" t="s">
        <v>41</v>
      </c>
      <c r="D39" s="66"/>
    </row>
    <row r="40" spans="1:7" x14ac:dyDescent="0.3">
      <c r="A40" s="63" t="s">
        <v>66</v>
      </c>
      <c r="B40" s="53">
        <f>$B$30*'Pulse Generator (viewOnly)'!$B$19</f>
        <v>5.1228552649940085E-14</v>
      </c>
      <c r="C40" s="54" t="s">
        <v>42</v>
      </c>
      <c r="D40" s="66"/>
    </row>
    <row r="41" spans="1:7" x14ac:dyDescent="0.3">
      <c r="A41" s="63"/>
      <c r="B41" s="53">
        <f>RADIANS(B40)</f>
        <v>8.9410691477272051E-16</v>
      </c>
      <c r="C41" s="54" t="s">
        <v>43</v>
      </c>
      <c r="D41" s="66"/>
    </row>
    <row r="42" spans="1:7" ht="15" thickBot="1" x14ac:dyDescent="0.35">
      <c r="A42" s="64"/>
      <c r="B42" s="51">
        <f>B40/360*60</f>
        <v>8.5380921083233474E-15</v>
      </c>
      <c r="C42" s="52" t="s">
        <v>41</v>
      </c>
      <c r="D42" s="67"/>
    </row>
    <row r="43" spans="1:7" ht="14.4" customHeight="1" x14ac:dyDescent="0.3">
      <c r="A43" s="55" t="s">
        <v>61</v>
      </c>
      <c r="B43" s="55">
        <f>$B$9/$B$3/$B$16</f>
        <v>8.6538461538461543E-3</v>
      </c>
      <c r="C43" s="56" t="s">
        <v>39</v>
      </c>
      <c r="D43" s="65" t="s">
        <v>67</v>
      </c>
    </row>
    <row r="44" spans="1:7" x14ac:dyDescent="0.3">
      <c r="A44" s="68" t="s">
        <v>60</v>
      </c>
      <c r="B44" s="57">
        <f>$B$43*'Pulse Generator (viewOnly)'!$B$15</f>
        <v>181.73076923076925</v>
      </c>
      <c r="C44" s="58" t="s">
        <v>42</v>
      </c>
      <c r="D44" s="66"/>
    </row>
    <row r="45" spans="1:7" x14ac:dyDescent="0.3">
      <c r="A45" s="69"/>
      <c r="B45" s="53">
        <f>RADIANS(B44)</f>
        <v>3.171800275258926</v>
      </c>
      <c r="C45" s="54" t="s">
        <v>43</v>
      </c>
      <c r="D45" s="66"/>
    </row>
    <row r="46" spans="1:7" x14ac:dyDescent="0.3">
      <c r="A46" s="70"/>
      <c r="B46" s="59">
        <f>B44/360*60</f>
        <v>30.288461538461544</v>
      </c>
      <c r="C46" s="60" t="s">
        <v>41</v>
      </c>
      <c r="D46" s="66"/>
    </row>
    <row r="47" spans="1:7" x14ac:dyDescent="0.3">
      <c r="A47" s="68" t="s">
        <v>73</v>
      </c>
      <c r="B47" s="57">
        <f>$B$43*'Pulse Generator (viewOnly)'!$B$16</f>
        <v>8.4624983963128995E-6</v>
      </c>
      <c r="C47" s="58" t="s">
        <v>42</v>
      </c>
      <c r="D47" s="66"/>
    </row>
    <row r="48" spans="1:7" x14ac:dyDescent="0.3">
      <c r="A48" s="69"/>
      <c r="B48" s="53">
        <f>RADIANS(B47)</f>
        <v>1.4769845996040005E-7</v>
      </c>
      <c r="C48" s="54" t="s">
        <v>43</v>
      </c>
      <c r="D48" s="66"/>
    </row>
    <row r="49" spans="1:4" x14ac:dyDescent="0.3">
      <c r="A49" s="70"/>
      <c r="B49" s="59">
        <f>B47/360*60</f>
        <v>1.4104163993854834E-6</v>
      </c>
      <c r="C49" s="60" t="s">
        <v>41</v>
      </c>
      <c r="D49" s="66"/>
    </row>
    <row r="50" spans="1:4" ht="14.4" customHeight="1" x14ac:dyDescent="0.3">
      <c r="A50" s="71" t="s">
        <v>65</v>
      </c>
      <c r="B50" s="57">
        <f>$B$43*'Pulse Generator (viewOnly)'!$B$18</f>
        <v>0.90413318025259048</v>
      </c>
      <c r="C50" s="58" t="s">
        <v>42</v>
      </c>
      <c r="D50" s="66"/>
    </row>
    <row r="51" spans="1:4" x14ac:dyDescent="0.3">
      <c r="A51" s="63"/>
      <c r="B51" s="53">
        <f>RADIANS(B50)</f>
        <v>1.5780100871935081E-2</v>
      </c>
      <c r="C51" s="54" t="s">
        <v>43</v>
      </c>
      <c r="D51" s="66"/>
    </row>
    <row r="52" spans="1:4" x14ac:dyDescent="0.3">
      <c r="A52" s="72"/>
      <c r="B52" s="59">
        <f>B50/360*60</f>
        <v>0.15068886337543175</v>
      </c>
      <c r="C52" s="60" t="s">
        <v>41</v>
      </c>
      <c r="D52" s="66"/>
    </row>
    <row r="53" spans="1:4" ht="14.4" customHeight="1" x14ac:dyDescent="0.3">
      <c r="A53" s="63" t="s">
        <v>66</v>
      </c>
      <c r="B53" s="53">
        <f>$B$43*'Pulse Generator (viewOnly)'!$B$19</f>
        <v>1.9703289480746189E-15</v>
      </c>
      <c r="C53" s="54" t="s">
        <v>42</v>
      </c>
      <c r="D53" s="66"/>
    </row>
    <row r="54" spans="1:4" x14ac:dyDescent="0.3">
      <c r="A54" s="63"/>
      <c r="B54" s="53">
        <f>RADIANS(B53)</f>
        <v>3.4388727491258488E-17</v>
      </c>
      <c r="C54" s="54" t="s">
        <v>43</v>
      </c>
      <c r="D54" s="66"/>
    </row>
    <row r="55" spans="1:4" ht="15" thickBot="1" x14ac:dyDescent="0.35">
      <c r="A55" s="64"/>
      <c r="B55" s="51">
        <f>B53/360*60</f>
        <v>3.2838815801243648E-16</v>
      </c>
      <c r="C55" s="52" t="s">
        <v>41</v>
      </c>
      <c r="D55" s="67"/>
    </row>
  </sheetData>
  <sheetProtection sheet="1" objects="1" scenarios="1"/>
  <mergeCells count="19">
    <mergeCell ref="A13:A15"/>
    <mergeCell ref="A24:C24"/>
    <mergeCell ref="A17:C17"/>
    <mergeCell ref="F1:H1"/>
    <mergeCell ref="A40:A42"/>
    <mergeCell ref="D30:D42"/>
    <mergeCell ref="D43:D55"/>
    <mergeCell ref="A44:A46"/>
    <mergeCell ref="A47:A49"/>
    <mergeCell ref="A50:A52"/>
    <mergeCell ref="A53:A55"/>
    <mergeCell ref="D25:D27"/>
    <mergeCell ref="D28:D29"/>
    <mergeCell ref="A31:A33"/>
    <mergeCell ref="A34:A36"/>
    <mergeCell ref="A37:A39"/>
    <mergeCell ref="A1:C1"/>
    <mergeCell ref="A4:C4"/>
    <mergeCell ref="A10:A12"/>
  </mergeCells>
  <conditionalFormatting sqref="B20">
    <cfRule type="cellIs" dxfId="10" priority="3" operator="greaterThan">
      <formula>$B$18/2</formula>
    </cfRule>
    <cfRule type="cellIs" dxfId="9" priority="4" operator="lessThanOrEqual">
      <formula>0</formula>
    </cfRule>
  </conditionalFormatting>
  <conditionalFormatting sqref="B27">
    <cfRule type="cellIs" dxfId="8" priority="5" operator="notBetween">
      <formula>0.5</formula>
      <formula>2.5</formula>
    </cfRule>
  </conditionalFormatting>
  <conditionalFormatting sqref="B28">
    <cfRule type="cellIs" dxfId="7" priority="2" operator="notBetween">
      <formula>0</formula>
      <formula>$B$2/512</formula>
    </cfRule>
  </conditionalFormatting>
  <conditionalFormatting sqref="B29">
    <cfRule type="cellIs" dxfId="6" priority="1" operator="notBetween">
      <formula>0</formula>
      <formula>$B$2/2</formula>
    </cfRule>
  </conditionalFormatting>
  <dataValidations count="2">
    <dataValidation type="list" operator="equal" allowBlank="1" showInputMessage="1" showErrorMessage="1" sqref="B19" xr:uid="{1A5C363C-3C29-43F3-8793-C4D6E6F07ECE}">
      <formula1>"16,32"</formula1>
    </dataValidation>
    <dataValidation type="decimal" allowBlank="1" showInputMessage="1" showErrorMessage="1" sqref="G3" xr:uid="{6D80F4AB-FF0B-4EBC-A1E4-C9BD96623293}">
      <formula1>B47</formula1>
      <formula2>B44</formula2>
    </dataValidation>
  </dataValidations>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r:uid="{E363B4E7-9462-4424-89F3-B31D47CC976C}">
          <x14:formula1>
            <xm:f>Temp!$A$3:$A$6</xm:f>
          </x14:formula1>
          <xm:sqref>B3</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BE8C21-8018-47B2-A185-3A68A284844B}">
  <dimension ref="A1:G19"/>
  <sheetViews>
    <sheetView workbookViewId="0">
      <selection activeCell="D39" sqref="D39"/>
    </sheetView>
  </sheetViews>
  <sheetFormatPr baseColWidth="10" defaultRowHeight="14.4" x14ac:dyDescent="0.3"/>
  <cols>
    <col min="1" max="1" width="40.5546875" style="12" customWidth="1"/>
    <col min="2" max="2" width="12" style="2" bestFit="1" customWidth="1"/>
    <col min="3" max="3" width="11.5546875" style="13"/>
    <col min="5" max="5" width="23" customWidth="1"/>
    <col min="6" max="6" width="15.21875" bestFit="1" customWidth="1"/>
    <col min="7" max="7" width="11.5546875" style="6"/>
    <col min="11" max="11" width="12" bestFit="1" customWidth="1"/>
  </cols>
  <sheetData>
    <row r="1" spans="1:7" x14ac:dyDescent="0.3">
      <c r="G1"/>
    </row>
    <row r="2" spans="1:7" x14ac:dyDescent="0.3">
      <c r="A2" s="75" t="s">
        <v>11</v>
      </c>
      <c r="B2" s="75"/>
      <c r="C2" s="75"/>
      <c r="E2" s="62" t="s">
        <v>8</v>
      </c>
      <c r="F2" s="62"/>
      <c r="G2" s="62"/>
    </row>
    <row r="3" spans="1:7" x14ac:dyDescent="0.3">
      <c r="A3" s="45" t="s">
        <v>0</v>
      </c>
      <c r="B3" s="46">
        <f>TMC2209_Simple!$B$18</f>
        <v>84000000</v>
      </c>
      <c r="C3" s="47" t="s">
        <v>2</v>
      </c>
      <c r="E3" s="7" t="s">
        <v>21</v>
      </c>
      <c r="F3" s="7">
        <f>TMC2209_Simple!G3/TMC2209_Simple!B43</f>
        <v>10400</v>
      </c>
      <c r="G3" s="8" t="s">
        <v>2</v>
      </c>
    </row>
    <row r="4" spans="1:7" x14ac:dyDescent="0.3">
      <c r="A4" s="48" t="s">
        <v>4</v>
      </c>
      <c r="B4" s="46">
        <f>TMC2209_Simple!$B$19</f>
        <v>32</v>
      </c>
      <c r="C4" s="49" t="s">
        <v>5</v>
      </c>
      <c r="E4" s="7" t="s">
        <v>9</v>
      </c>
      <c r="F4" s="14">
        <f>INT($B$12/2/$F$3)</f>
        <v>403</v>
      </c>
      <c r="G4" s="8" t="s">
        <v>3</v>
      </c>
    </row>
    <row r="5" spans="1:7" x14ac:dyDescent="0.3">
      <c r="A5" s="45" t="s">
        <v>12</v>
      </c>
      <c r="B5" s="46">
        <f>TMC2209_Simple!$B$20</f>
        <v>21333.333333333332</v>
      </c>
      <c r="C5" s="47" t="s">
        <v>2</v>
      </c>
      <c r="E5" s="7" t="s">
        <v>22</v>
      </c>
      <c r="F5" s="14">
        <f>B12/2/F4</f>
        <v>10421.836228287841</v>
      </c>
      <c r="G5" s="8" t="s">
        <v>2</v>
      </c>
    </row>
    <row r="6" spans="1:7" x14ac:dyDescent="0.3">
      <c r="A6" s="45" t="s">
        <v>14</v>
      </c>
      <c r="B6" s="46">
        <f>TMC2209_Simple!$B$21</f>
        <v>200</v>
      </c>
      <c r="C6" s="47" t="s">
        <v>3</v>
      </c>
      <c r="E6" s="7" t="s">
        <v>23</v>
      </c>
      <c r="F6" s="7">
        <f>$B$14*(1/$F$4-1/($F$4+1))</f>
        <v>25.796624327445016</v>
      </c>
      <c r="G6" s="8" t="s">
        <v>2</v>
      </c>
    </row>
    <row r="7" spans="1:7" x14ac:dyDescent="0.3">
      <c r="A7" s="19"/>
      <c r="B7"/>
      <c r="C7" s="20"/>
      <c r="G7"/>
    </row>
    <row r="8" spans="1:7" x14ac:dyDescent="0.3">
      <c r="A8" s="19"/>
      <c r="B8"/>
      <c r="C8" s="20"/>
      <c r="G8"/>
    </row>
    <row r="9" spans="1:7" x14ac:dyDescent="0.3">
      <c r="A9" s="78" t="s">
        <v>13</v>
      </c>
      <c r="B9" s="78"/>
      <c r="C9" s="78"/>
      <c r="G9"/>
    </row>
    <row r="10" spans="1:7" x14ac:dyDescent="0.3">
      <c r="A10" s="21" t="s">
        <v>6</v>
      </c>
      <c r="B10" s="3">
        <f>$B$3/($B$5*2)/$B$6-1</f>
        <v>8.84375</v>
      </c>
      <c r="C10" s="22" t="s">
        <v>3</v>
      </c>
    </row>
    <row r="11" spans="1:7" x14ac:dyDescent="0.3">
      <c r="A11" s="21" t="s">
        <v>7</v>
      </c>
      <c r="B11" s="3">
        <f>MAX(0, ROUNDUP(B10,0))</f>
        <v>9</v>
      </c>
      <c r="C11" s="22" t="s">
        <v>3</v>
      </c>
    </row>
    <row r="12" spans="1:7" x14ac:dyDescent="0.3">
      <c r="A12" s="21" t="s">
        <v>1</v>
      </c>
      <c r="B12" s="3">
        <f>$B$3/($B$11+1)</f>
        <v>8400000</v>
      </c>
      <c r="C12" s="22" t="s">
        <v>2</v>
      </c>
    </row>
    <row r="13" spans="1:7" ht="15" thickBot="1" x14ac:dyDescent="0.35">
      <c r="A13" s="23" t="s">
        <v>10</v>
      </c>
      <c r="B13" s="5">
        <f>2^B4-1</f>
        <v>4294967295</v>
      </c>
      <c r="C13" s="24" t="s">
        <v>3</v>
      </c>
    </row>
    <row r="14" spans="1:7" x14ac:dyDescent="0.3">
      <c r="A14" s="21" t="s">
        <v>15</v>
      </c>
      <c r="B14" s="3">
        <f>B12/2</f>
        <v>4200000</v>
      </c>
      <c r="C14" s="22" t="s">
        <v>2</v>
      </c>
    </row>
    <row r="15" spans="1:7" x14ac:dyDescent="0.3">
      <c r="A15" s="21" t="s">
        <v>16</v>
      </c>
      <c r="B15" s="3">
        <f>$B$12/2/$B$6</f>
        <v>21000</v>
      </c>
      <c r="C15" s="22" t="s">
        <v>2</v>
      </c>
    </row>
    <row r="16" spans="1:7" ht="15" thickBot="1" x14ac:dyDescent="0.35">
      <c r="A16" s="25" t="s">
        <v>17</v>
      </c>
      <c r="B16" s="5">
        <f>$B$12/$B$13/2</f>
        <v>9.778887035739349E-4</v>
      </c>
      <c r="C16" s="24" t="s">
        <v>2</v>
      </c>
    </row>
    <row r="17" spans="1:3" ht="15" customHeight="1" x14ac:dyDescent="0.3">
      <c r="A17" s="26" t="s">
        <v>20</v>
      </c>
      <c r="B17" s="3">
        <f>$B$14*(1/1-1/(1+1))</f>
        <v>2100000</v>
      </c>
      <c r="C17" s="22" t="s">
        <v>2</v>
      </c>
    </row>
    <row r="18" spans="1:3" ht="35.4" customHeight="1" x14ac:dyDescent="0.3">
      <c r="A18" s="26" t="s">
        <v>18</v>
      </c>
      <c r="B18" s="3">
        <f>$B$14*(1/$B$6-1/($B$6+1))</f>
        <v>104.47761194029934</v>
      </c>
      <c r="C18" s="22" t="s">
        <v>2</v>
      </c>
    </row>
    <row r="19" spans="1:3" ht="15" customHeight="1" x14ac:dyDescent="0.3">
      <c r="A19" s="26" t="s">
        <v>19</v>
      </c>
      <c r="B19" s="3">
        <f>$B$14*(1/$B$13-1/($B$13+1))</f>
        <v>2.2768245622195593E-13</v>
      </c>
      <c r="C19" s="22" t="s">
        <v>2</v>
      </c>
    </row>
  </sheetData>
  <sheetProtection sheet="1" objects="1" scenarios="1"/>
  <mergeCells count="3">
    <mergeCell ref="A2:C2"/>
    <mergeCell ref="E2:G2"/>
    <mergeCell ref="A9:C9"/>
  </mergeCells>
  <conditionalFormatting sqref="B10">
    <cfRule type="cellIs" dxfId="5" priority="4" operator="lessThan">
      <formula>0</formula>
    </cfRule>
  </conditionalFormatting>
  <conditionalFormatting sqref="B11">
    <cfRule type="cellIs" dxfId="4" priority="1" operator="notBetween">
      <formula>0</formula>
      <formula>"2^16-1"</formula>
    </cfRule>
  </conditionalFormatting>
  <dataValidations disablePrompts="1" count="1">
    <dataValidation type="decimal" allowBlank="1" showInputMessage="1" showErrorMessage="1" errorTitle="Frequency out of range" error="The frequency must be between the maximum and minimum achievable values." sqref="F3" xr:uid="{90864A81-9D7F-4C60-891C-496C4D8D4421}">
      <formula1>B16</formula1>
      <formula2>B15</formula2>
    </dataValidation>
  </dataValidation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4EADBC-A422-416C-B596-3C9E42FC6D5E}">
  <dimension ref="A1:G19"/>
  <sheetViews>
    <sheetView workbookViewId="0">
      <selection activeCell="C40" sqref="C40"/>
    </sheetView>
  </sheetViews>
  <sheetFormatPr baseColWidth="10" defaultRowHeight="14.4" x14ac:dyDescent="0.3"/>
  <cols>
    <col min="1" max="1" width="40.5546875" style="12" customWidth="1"/>
    <col min="2" max="2" width="12" style="2" bestFit="1" customWidth="1"/>
    <col min="3" max="3" width="11.5546875" style="13"/>
    <col min="5" max="5" width="23" customWidth="1"/>
    <col min="6" max="6" width="15.21875" bestFit="1" customWidth="1"/>
    <col min="7" max="7" width="11.5546875" style="6"/>
    <col min="11" max="11" width="12" bestFit="1" customWidth="1"/>
  </cols>
  <sheetData>
    <row r="1" spans="1:7" x14ac:dyDescent="0.3">
      <c r="G1"/>
    </row>
    <row r="2" spans="1:7" x14ac:dyDescent="0.3">
      <c r="A2" s="75" t="s">
        <v>11</v>
      </c>
      <c r="B2" s="75"/>
      <c r="C2" s="75"/>
      <c r="E2" s="62" t="s">
        <v>8</v>
      </c>
      <c r="F2" s="62"/>
      <c r="G2" s="62"/>
    </row>
    <row r="3" spans="1:7" x14ac:dyDescent="0.3">
      <c r="A3" s="15" t="s">
        <v>0</v>
      </c>
      <c r="B3" s="4">
        <v>84000000</v>
      </c>
      <c r="C3" s="16" t="s">
        <v>2</v>
      </c>
      <c r="E3" s="9" t="s">
        <v>21</v>
      </c>
      <c r="F3" s="11">
        <v>10000</v>
      </c>
      <c r="G3" s="10" t="s">
        <v>2</v>
      </c>
    </row>
    <row r="4" spans="1:7" x14ac:dyDescent="0.3">
      <c r="A4" s="17" t="s">
        <v>4</v>
      </c>
      <c r="B4" s="1">
        <v>32</v>
      </c>
      <c r="C4" s="18" t="s">
        <v>5</v>
      </c>
      <c r="E4" s="7" t="s">
        <v>9</v>
      </c>
      <c r="F4" s="14">
        <f>INT($B$12/2/$F$3)</f>
        <v>2100</v>
      </c>
      <c r="G4" s="8" t="s">
        <v>3</v>
      </c>
    </row>
    <row r="5" spans="1:7" x14ac:dyDescent="0.3">
      <c r="A5" s="15" t="s">
        <v>12</v>
      </c>
      <c r="B5" s="4">
        <v>250000</v>
      </c>
      <c r="C5" s="16" t="s">
        <v>2</v>
      </c>
      <c r="E5" s="7" t="s">
        <v>22</v>
      </c>
      <c r="F5" s="14">
        <f>B12/2/F4</f>
        <v>10000</v>
      </c>
      <c r="G5" s="8" t="s">
        <v>2</v>
      </c>
    </row>
    <row r="6" spans="1:7" x14ac:dyDescent="0.3">
      <c r="A6" s="15" t="s">
        <v>14</v>
      </c>
      <c r="B6" s="4">
        <v>100</v>
      </c>
      <c r="C6" s="16" t="s">
        <v>3</v>
      </c>
      <c r="E6" s="7" t="s">
        <v>23</v>
      </c>
      <c r="F6" s="7">
        <f>$B$14*(1/$F$4-1/($F$4+1))</f>
        <v>4.7596382674919866</v>
      </c>
      <c r="G6" s="8" t="s">
        <v>2</v>
      </c>
    </row>
    <row r="7" spans="1:7" x14ac:dyDescent="0.3">
      <c r="A7" s="19"/>
      <c r="B7"/>
      <c r="C7" s="20"/>
      <c r="G7"/>
    </row>
    <row r="8" spans="1:7" x14ac:dyDescent="0.3">
      <c r="A8" s="19"/>
      <c r="B8"/>
      <c r="C8" s="20"/>
      <c r="G8"/>
    </row>
    <row r="9" spans="1:7" x14ac:dyDescent="0.3">
      <c r="A9" s="78" t="s">
        <v>13</v>
      </c>
      <c r="B9" s="78"/>
      <c r="C9" s="78"/>
      <c r="G9"/>
    </row>
    <row r="10" spans="1:7" x14ac:dyDescent="0.3">
      <c r="A10" s="21" t="s">
        <v>6</v>
      </c>
      <c r="B10" s="3">
        <f>$B$3/($B$5*2)/$B$6-1</f>
        <v>0.67999999999999994</v>
      </c>
      <c r="C10" s="22" t="s">
        <v>3</v>
      </c>
    </row>
    <row r="11" spans="1:7" x14ac:dyDescent="0.3">
      <c r="A11" s="21" t="s">
        <v>7</v>
      </c>
      <c r="B11" s="3">
        <f>MAX(0, ROUNDUP(B10,0))</f>
        <v>1</v>
      </c>
      <c r="C11" s="22" t="s">
        <v>3</v>
      </c>
    </row>
    <row r="12" spans="1:7" x14ac:dyDescent="0.3">
      <c r="A12" s="21" t="s">
        <v>1</v>
      </c>
      <c r="B12" s="3">
        <f>$B$3/($B$11+1)</f>
        <v>42000000</v>
      </c>
      <c r="C12" s="22" t="s">
        <v>2</v>
      </c>
    </row>
    <row r="13" spans="1:7" ht="15" thickBot="1" x14ac:dyDescent="0.35">
      <c r="A13" s="23" t="s">
        <v>10</v>
      </c>
      <c r="B13" s="5">
        <f>2^B4-1</f>
        <v>4294967295</v>
      </c>
      <c r="C13" s="24" t="s">
        <v>3</v>
      </c>
    </row>
    <row r="14" spans="1:7" x14ac:dyDescent="0.3">
      <c r="A14" s="21" t="s">
        <v>15</v>
      </c>
      <c r="B14" s="3">
        <f>B12/2</f>
        <v>21000000</v>
      </c>
      <c r="C14" s="22" t="s">
        <v>2</v>
      </c>
    </row>
    <row r="15" spans="1:7" x14ac:dyDescent="0.3">
      <c r="A15" s="21" t="s">
        <v>16</v>
      </c>
      <c r="B15" s="3">
        <f>$B$12/2/$B$6</f>
        <v>210000</v>
      </c>
      <c r="C15" s="22" t="s">
        <v>2</v>
      </c>
    </row>
    <row r="16" spans="1:7" ht="15" thickBot="1" x14ac:dyDescent="0.35">
      <c r="A16" s="25" t="s">
        <v>17</v>
      </c>
      <c r="B16" s="5">
        <f>$B$12/$B$13/2</f>
        <v>4.8894435178696745E-3</v>
      </c>
      <c r="C16" s="24" t="s">
        <v>2</v>
      </c>
    </row>
    <row r="17" spans="1:3" ht="15" customHeight="1" x14ac:dyDescent="0.3">
      <c r="A17" s="26" t="s">
        <v>20</v>
      </c>
      <c r="B17" s="3">
        <f>$B$14*(1/1-1/(1+1))</f>
        <v>10500000</v>
      </c>
      <c r="C17" s="22" t="s">
        <v>2</v>
      </c>
    </row>
    <row r="18" spans="1:3" ht="31.8" customHeight="1" x14ac:dyDescent="0.3">
      <c r="A18" s="26" t="s">
        <v>18</v>
      </c>
      <c r="B18" s="3">
        <f>$B$14*(1/$B$6-1/($B$6+1))</f>
        <v>2079.207920792081</v>
      </c>
      <c r="C18" s="22" t="s">
        <v>2</v>
      </c>
    </row>
    <row r="19" spans="1:3" ht="15" customHeight="1" x14ac:dyDescent="0.3">
      <c r="A19" s="26" t="s">
        <v>19</v>
      </c>
      <c r="B19" s="3">
        <f>$B$14*(1/$B$13-1/($B$13+1))</f>
        <v>1.1384122811097797E-12</v>
      </c>
      <c r="C19" s="22" t="s">
        <v>2</v>
      </c>
    </row>
  </sheetData>
  <sheetProtection sheet="1" objects="1" scenarios="1"/>
  <mergeCells count="3">
    <mergeCell ref="A9:C9"/>
    <mergeCell ref="E2:G2"/>
    <mergeCell ref="A2:C2"/>
  </mergeCells>
  <conditionalFormatting sqref="B5">
    <cfRule type="cellIs" dxfId="3" priority="2" operator="greaterThan">
      <formula>$B$3/2</formula>
    </cfRule>
    <cfRule type="cellIs" dxfId="2" priority="3" operator="lessThanOrEqual">
      <formula>0</formula>
    </cfRule>
  </conditionalFormatting>
  <conditionalFormatting sqref="B10">
    <cfRule type="cellIs" dxfId="1" priority="4" operator="lessThan">
      <formula>0</formula>
    </cfRule>
  </conditionalFormatting>
  <conditionalFormatting sqref="B11">
    <cfRule type="cellIs" dxfId="0" priority="1" operator="notBetween">
      <formula>0</formula>
      <formula>"2^16-1"</formula>
    </cfRule>
  </conditionalFormatting>
  <dataValidations count="2">
    <dataValidation type="list" operator="equal" allowBlank="1" showInputMessage="1" showErrorMessage="1" sqref="B4" xr:uid="{AFAD3454-7B5B-4901-93F8-530655431395}">
      <formula1>"16,32"</formula1>
    </dataValidation>
    <dataValidation type="decimal" allowBlank="1" showInputMessage="1" showErrorMessage="1" errorTitle="Frequency out of range" error="The frequency must be between the maximum and minimum achievable values." sqref="F3" xr:uid="{77B943D6-E31A-40BE-8C0B-D151B25D1763}">
      <formula1>B16</formula1>
      <formula2>B15</formula2>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B1F726-DF9D-4731-9C3E-DDB6132B7B79}">
  <dimension ref="A1:F14"/>
  <sheetViews>
    <sheetView workbookViewId="0">
      <selection activeCell="F6" sqref="F6"/>
    </sheetView>
  </sheetViews>
  <sheetFormatPr baseColWidth="10" defaultRowHeight="14.4" x14ac:dyDescent="0.3"/>
  <sheetData>
    <row r="1" spans="1:6" x14ac:dyDescent="0.3">
      <c r="A1" s="79" t="s">
        <v>28</v>
      </c>
      <c r="B1" s="79"/>
      <c r="D1" t="s">
        <v>50</v>
      </c>
      <c r="E1">
        <f>12000000</f>
        <v>12000000</v>
      </c>
    </row>
    <row r="2" spans="1:6" x14ac:dyDescent="0.3">
      <c r="A2" t="s">
        <v>26</v>
      </c>
      <c r="B2" t="s">
        <v>27</v>
      </c>
      <c r="D2" t="s">
        <v>53</v>
      </c>
      <c r="E2">
        <f>E1/2</f>
        <v>6000000</v>
      </c>
    </row>
    <row r="3" spans="1:6" x14ac:dyDescent="0.3">
      <c r="A3">
        <v>8</v>
      </c>
      <c r="B3">
        <v>1</v>
      </c>
      <c r="D3" t="s">
        <v>54</v>
      </c>
      <c r="E3">
        <f>E1/512</f>
        <v>23437.5</v>
      </c>
    </row>
    <row r="4" spans="1:6" x14ac:dyDescent="0.3">
      <c r="A4">
        <f>A3*2</f>
        <v>16</v>
      </c>
      <c r="B4">
        <f>B3*2</f>
        <v>2</v>
      </c>
    </row>
    <row r="5" spans="1:6" x14ac:dyDescent="0.3">
      <c r="A5">
        <f t="shared" ref="A5:A6" si="0">A4*2</f>
        <v>32</v>
      </c>
      <c r="B5">
        <f t="shared" ref="B5:B11" si="1">B4*2</f>
        <v>4</v>
      </c>
      <c r="D5" t="s">
        <v>51</v>
      </c>
      <c r="E5" t="s">
        <v>55</v>
      </c>
      <c r="F5" t="s">
        <v>52</v>
      </c>
    </row>
    <row r="6" spans="1:6" x14ac:dyDescent="0.3">
      <c r="A6">
        <f t="shared" si="0"/>
        <v>64</v>
      </c>
      <c r="B6">
        <f t="shared" si="1"/>
        <v>8</v>
      </c>
      <c r="D6">
        <v>1</v>
      </c>
      <c r="E6">
        <f>$E$3</f>
        <v>23437.5</v>
      </c>
      <c r="F6">
        <f>MIN(E6*D6,$E$2)</f>
        <v>23437.5</v>
      </c>
    </row>
    <row r="7" spans="1:6" x14ac:dyDescent="0.3">
      <c r="B7">
        <f t="shared" si="1"/>
        <v>16</v>
      </c>
      <c r="D7">
        <v>2</v>
      </c>
      <c r="E7">
        <f t="shared" ref="E7:E14" si="2">$E$3</f>
        <v>23437.5</v>
      </c>
      <c r="F7">
        <f t="shared" ref="F7:F14" si="3">MIN(E7*D7,$E$2)</f>
        <v>46875</v>
      </c>
    </row>
    <row r="8" spans="1:6" x14ac:dyDescent="0.3">
      <c r="B8">
        <f t="shared" si="1"/>
        <v>32</v>
      </c>
      <c r="D8">
        <v>4</v>
      </c>
      <c r="E8">
        <f t="shared" si="2"/>
        <v>23437.5</v>
      </c>
      <c r="F8">
        <f t="shared" si="3"/>
        <v>93750</v>
      </c>
    </row>
    <row r="9" spans="1:6" x14ac:dyDescent="0.3">
      <c r="B9">
        <f t="shared" si="1"/>
        <v>64</v>
      </c>
      <c r="D9">
        <v>8</v>
      </c>
      <c r="E9">
        <f t="shared" si="2"/>
        <v>23437.5</v>
      </c>
      <c r="F9">
        <f t="shared" si="3"/>
        <v>187500</v>
      </c>
    </row>
    <row r="10" spans="1:6" x14ac:dyDescent="0.3">
      <c r="B10">
        <f t="shared" si="1"/>
        <v>128</v>
      </c>
      <c r="D10">
        <v>16</v>
      </c>
      <c r="E10">
        <f t="shared" si="2"/>
        <v>23437.5</v>
      </c>
      <c r="F10">
        <f t="shared" si="3"/>
        <v>375000</v>
      </c>
    </row>
    <row r="11" spans="1:6" x14ac:dyDescent="0.3">
      <c r="B11">
        <f t="shared" si="1"/>
        <v>256</v>
      </c>
      <c r="D11">
        <v>32</v>
      </c>
      <c r="E11">
        <f t="shared" si="2"/>
        <v>23437.5</v>
      </c>
      <c r="F11">
        <f t="shared" si="3"/>
        <v>750000</v>
      </c>
    </row>
    <row r="12" spans="1:6" x14ac:dyDescent="0.3">
      <c r="D12">
        <v>64</v>
      </c>
      <c r="E12">
        <f t="shared" si="2"/>
        <v>23437.5</v>
      </c>
      <c r="F12">
        <f t="shared" si="3"/>
        <v>1500000</v>
      </c>
    </row>
    <row r="13" spans="1:6" x14ac:dyDescent="0.3">
      <c r="D13">
        <v>128</v>
      </c>
      <c r="E13">
        <f t="shared" si="2"/>
        <v>23437.5</v>
      </c>
      <c r="F13">
        <f t="shared" si="3"/>
        <v>3000000</v>
      </c>
    </row>
    <row r="14" spans="1:6" x14ac:dyDescent="0.3">
      <c r="D14">
        <v>256</v>
      </c>
      <c r="E14">
        <f t="shared" si="2"/>
        <v>23437.5</v>
      </c>
      <c r="F14">
        <f t="shared" si="3"/>
        <v>6000000</v>
      </c>
    </row>
  </sheetData>
  <sheetProtection sheet="1" objects="1" scenarios="1"/>
  <mergeCells count="1">
    <mergeCell ref="A1:B1"/>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TMC2209_Simple</vt:lpstr>
      <vt:lpstr>Pulse Generator (viewOnly)</vt:lpstr>
      <vt:lpstr>Pulse Generator</vt:lpstr>
      <vt:lpstr>Temp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Andres Sanchez</dc:creator>
  <cp:lastModifiedBy>Andrés Sánchez</cp:lastModifiedBy>
  <dcterms:created xsi:type="dcterms:W3CDTF">2015-06-05T18:17:20Z</dcterms:created>
  <dcterms:modified xsi:type="dcterms:W3CDTF">2025-09-11T23:18:13Z</dcterms:modified>
</cp:coreProperties>
</file>