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ingle" sheetId="1" state="visible" r:id="rId2"/>
    <sheet name="Double" sheetId="2" state="visible" r:id="rId3"/>
    <sheet name="Reduction" sheetId="3" state="visible" r:id="rId4"/>
    <sheet name="Map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<sst xmlns="http://schemas.openxmlformats.org/spreadsheetml/2006/main" count="198" uniqueCount="65">
  <si>
    <t>Retirement #s per month</t>
  </si>
  <si>
    <t>Yours</t>
  </si>
  <si>
    <t>Spouse</t>
  </si>
  <si>
    <t>Birth Date (mm/dd/yy)</t>
  </si>
  <si>
    <t>*remember that there is an exception for January Births.</t>
  </si>
  <si>
    <t>FRA (66+4mo)</t>
  </si>
  <si>
    <t>Age</t>
  </si>
  <si>
    <t>**Still need to write this in.</t>
  </si>
  <si>
    <t>70 years old</t>
  </si>
  <si>
    <t>Spouse BD (mm/dd/yy)</t>
  </si>
  <si>
    <t>62 years old</t>
  </si>
  <si>
    <t>Graphs</t>
  </si>
  <si>
    <t>Date</t>
  </si>
  <si>
    <t>Age1</t>
  </si>
  <si>
    <t>Cum 70</t>
  </si>
  <si>
    <t>Cum FRA</t>
  </si>
  <si>
    <t>Cum 62</t>
  </si>
  <si>
    <t>Breakdown</t>
  </si>
  <si>
    <t>N/A</t>
  </si>
  <si>
    <t>User</t>
  </si>
  <si>
    <t>User Birth Date (mm/dd/yy)</t>
  </si>
  <si>
    <t>You Are</t>
  </si>
  <si>
    <t>Spouse Is</t>
  </si>
  <si>
    <t>**still need to calc difference in months between Older and Younger</t>
  </si>
  <si>
    <t>***have to take the max of own or spousal if you decide to take at 62</t>
  </si>
  <si>
    <t>****keep remembering that they will get the check 1 mo after!!!!!</t>
  </si>
  <si>
    <t>**use this form to calc diff in months</t>
  </si>
  <si>
    <t>Older</t>
  </si>
  <si>
    <t>Younger</t>
  </si>
  <si>
    <t>*now need to write "spousal" benefits</t>
  </si>
  <si>
    <t>OS@62, Y@FRA</t>
  </si>
  <si>
    <t>OS@FRA, Y@FRA</t>
  </si>
  <si>
    <t>YS@62, O@FRA</t>
  </si>
  <si>
    <t>YS@FRA, O@FRA</t>
  </si>
  <si>
    <t>Year</t>
  </si>
  <si>
    <t>Wage Earner, Retirement Beneift</t>
  </si>
  <si>
    <t>*born 1960 and later</t>
  </si>
  <si>
    <t>Program</t>
  </si>
  <si>
    <t>basic template</t>
  </si>
  <si>
    <t>user is older by default</t>
  </si>
  <si>
    <t>Retirement</t>
  </si>
  <si>
    <t>FRA</t>
  </si>
  <si>
    <t>spouse is younger</t>
  </si>
  <si>
    <t>user</t>
  </si>
  <si>
    <t>spouse</t>
  </si>
  <si>
    <t>Designators</t>
  </si>
  <si>
    <t>individual</t>
  </si>
  <si>
    <t>individual static:</t>
  </si>
  <si>
    <t>User changes from individual to spousal:</t>
  </si>
  <si>
    <t>User changes from spousal to individual:</t>
  </si>
  <si>
    <t>spousal</t>
  </si>
  <si>
    <t>applies to older individual, younger spousal</t>
  </si>
  <si>
    <t>Older user Spousal starts as individual, then switches</t>
  </si>
  <si>
    <t>Older user start spousal, then switches to individual</t>
  </si>
  <si>
    <t>as well as younger individual, older spousal.</t>
  </si>
  <si>
    <t>to spousal upon spouse reaching 62 or FRA.</t>
  </si>
  <si>
    <t>user takes early 62,  switches to spousal when spouse takes 62</t>
  </si>
  <si>
    <t>individual to spousal</t>
  </si>
  <si>
    <t>user takes early 62,  switches to spousal when spouse takes FRA</t>
  </si>
  <si>
    <t>spousal to individual</t>
  </si>
  <si>
    <t>user takes early 62, switches when spouse 70</t>
  </si>
  <si>
    <t>individual deferred</t>
  </si>
  <si>
    <t>user takes FRA, switches when spouse takes early individual</t>
  </si>
  <si>
    <t>user takes FRA, switches when spouse takes FRA</t>
  </si>
  <si>
    <t>user defers, switches when spouse 70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</si>
</sst>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_(\$* #,##0.00_);_(\$* \(#,##0.00\);_(\$* \-??_);_(@_)"/>
    <numFmt numFmtId="167" formatCode="_(\$* #,##0_);_(\$* \(#,##0\);_(\$* \-??_);_(@_)"/>
    <numFmt numFmtId="168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AC09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Good" xfId="20" builtinId="54" customBuiltin="true"/>
    <cellStyle name="Excel Built-in Excel Built-in Neutral" xfId="21" builtinId="54" customBuiltin="true"/>
    <cellStyle name="Excel Built-in Excel Built-in Bad" xfId="22" builtinId="54" customBuiltin="true"/>
  </cellStyles>
  <dxfs count="3">
    <dxf>
      <font>
        <sz val="11"/>
        <color rgb="FF000000"/>
        <name val="Calibri"/>
        <family val="2"/>
        <charset val="1"/>
      </font>
      <fill>
        <patternFill>
          <bgColor rgb="FF00B05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23.5748987854251"/>
    <col collapsed="false" hidden="false" max="3" min="2" style="0" width="14.2834008097166"/>
    <col collapsed="false" hidden="false" max="4" min="4" style="0" width="11.5708502024291"/>
    <col collapsed="false" hidden="false" max="6" min="5" style="0" width="10.8542510121457"/>
    <col collapsed="false" hidden="false" max="1025" min="7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F1" s="1"/>
      <c r="G1" s="2" t="n">
        <v>20703</v>
      </c>
      <c r="N1" s="0" t="s">
        <v>4</v>
      </c>
    </row>
    <row r="2" customFormat="false" ht="15" hidden="false" customHeight="false" outlineLevel="0" collapsed="false">
      <c r="A2" s="0" t="s">
        <v>5</v>
      </c>
      <c r="B2" s="0" t="n">
        <v>2236</v>
      </c>
      <c r="E2" s="1" t="s">
        <v>6</v>
      </c>
      <c r="F2" s="1"/>
      <c r="G2" s="0" t="n">
        <f aca="true">YEAR(TODAY())-YEAR(G1)</f>
        <v>58</v>
      </c>
      <c r="J2" s="2"/>
      <c r="K2" s="2"/>
      <c r="N2" s="0" t="s">
        <v>7</v>
      </c>
    </row>
    <row r="3" customFormat="false" ht="15" hidden="false" customHeight="false" outlineLevel="0" collapsed="false">
      <c r="A3" s="0" t="s">
        <v>8</v>
      </c>
      <c r="B3" s="0" t="n">
        <v>2892</v>
      </c>
      <c r="E3" s="1" t="s">
        <v>9</v>
      </c>
      <c r="F3" s="1"/>
      <c r="G3" s="2" t="n">
        <v>20703</v>
      </c>
    </row>
    <row r="4" customFormat="false" ht="15" hidden="false" customHeight="false" outlineLevel="0" collapsed="false">
      <c r="A4" s="0" t="s">
        <v>10</v>
      </c>
      <c r="B4" s="0" t="n">
        <v>1649</v>
      </c>
      <c r="E4" s="1" t="s">
        <v>6</v>
      </c>
      <c r="F4" s="1"/>
      <c r="G4" s="0" t="n">
        <f aca="true">YEAR(TODAY())-YEAR(G3)</f>
        <v>58</v>
      </c>
    </row>
    <row r="8" customFormat="false" ht="15" hidden="false" customHeight="false" outlineLevel="0" collapsed="false">
      <c r="A8" s="0" t="s">
        <v>11</v>
      </c>
    </row>
    <row r="9" customFormat="false" ht="15" hidden="false" customHeight="false" outlineLevel="0" collapsed="false">
      <c r="A9" s="0" t="s">
        <v>12</v>
      </c>
      <c r="B9" s="0" t="s">
        <v>13</v>
      </c>
      <c r="C9" s="3" t="s">
        <v>14</v>
      </c>
      <c r="D9" s="4" t="s">
        <v>15</v>
      </c>
      <c r="E9" s="5" t="s">
        <v>16</v>
      </c>
      <c r="F9" s="0" t="s">
        <v>17</v>
      </c>
    </row>
    <row r="10" customFormat="false" ht="15" hidden="false" customHeight="false" outlineLevel="0" collapsed="false">
      <c r="A10" s="2" t="n">
        <f aca="true">DATE(YEAR(TODAY())+B10-G2,9,5)</f>
        <v>43348</v>
      </c>
      <c r="B10" s="0" t="n">
        <v>62</v>
      </c>
      <c r="C10" s="6" t="n">
        <v>0</v>
      </c>
      <c r="D10" s="6" t="n">
        <v>0</v>
      </c>
      <c r="E10" s="6" t="n">
        <v>0</v>
      </c>
      <c r="F10" s="0" t="s">
        <v>18</v>
      </c>
    </row>
    <row r="11" customFormat="false" ht="15" hidden="false" customHeight="false" outlineLevel="0" collapsed="false">
      <c r="A11" s="2" t="n">
        <f aca="false">DATE(YEAR(A10)+1,MONTH(A10),DAY(A10))</f>
        <v>43713</v>
      </c>
      <c r="B11" s="0" t="n">
        <f aca="false">B10+1</f>
        <v>63</v>
      </c>
      <c r="C11" s="6" t="n">
        <v>0</v>
      </c>
      <c r="D11" s="6" t="n">
        <v>0</v>
      </c>
      <c r="E11" s="6" t="n">
        <f aca="false">E10+$B$4*12</f>
        <v>19788</v>
      </c>
      <c r="F11" s="0" t="n">
        <f aca="false">IF(AND(E11&gt;D11,E11&gt;C11),62,IF(D11&gt;C11,"FRA",70))</f>
        <v>62</v>
      </c>
    </row>
    <row r="12" customFormat="false" ht="15" hidden="false" customHeight="false" outlineLevel="0" collapsed="false">
      <c r="A12" s="2" t="n">
        <f aca="false">DATE(YEAR(A11)+1,MONTH(A11),DAY(A11))</f>
        <v>44079</v>
      </c>
      <c r="B12" s="0" t="n">
        <f aca="false">B11+1</f>
        <v>64</v>
      </c>
      <c r="C12" s="6" t="n">
        <v>0</v>
      </c>
      <c r="D12" s="6" t="n">
        <v>0</v>
      </c>
      <c r="E12" s="6" t="n">
        <f aca="false">E11+$B$4*12</f>
        <v>39576</v>
      </c>
      <c r="F12" s="0" t="n">
        <f aca="false">IF(AND(E12&gt;D12,E12&gt;C12),62,IF(D12&gt;C12,"FRA",70))</f>
        <v>62</v>
      </c>
    </row>
    <row r="13" customFormat="false" ht="15" hidden="false" customHeight="false" outlineLevel="0" collapsed="false">
      <c r="A13" s="2" t="n">
        <f aca="false">DATE(YEAR(A12)+1,MONTH(A12),DAY(A12))</f>
        <v>44444</v>
      </c>
      <c r="B13" s="0" t="n">
        <f aca="false">B12+1</f>
        <v>65</v>
      </c>
      <c r="C13" s="6" t="n">
        <v>0</v>
      </c>
      <c r="D13" s="6" t="n">
        <v>0</v>
      </c>
      <c r="E13" s="6" t="n">
        <f aca="false">E12+$B$4*12</f>
        <v>59364</v>
      </c>
      <c r="F13" s="0" t="n">
        <f aca="false">IF(AND(E13&gt;D13,E13&gt;C13),62,IF(D13&gt;C13,"FRA",70))</f>
        <v>62</v>
      </c>
    </row>
    <row r="14" customFormat="false" ht="15" hidden="false" customHeight="false" outlineLevel="0" collapsed="false">
      <c r="A14" s="2" t="n">
        <f aca="false">DATE(YEAR(A13)+1,MONTH(A13),DAY(A13))</f>
        <v>44809</v>
      </c>
      <c r="B14" s="0" t="n">
        <f aca="false">B13+1</f>
        <v>66</v>
      </c>
      <c r="C14" s="6" t="n">
        <v>0</v>
      </c>
      <c r="D14" s="6" t="n">
        <v>0</v>
      </c>
      <c r="E14" s="6" t="n">
        <f aca="false">E13+$B$4*12</f>
        <v>79152</v>
      </c>
      <c r="F14" s="0" t="n">
        <f aca="false">IF(AND(E14&gt;D14,E14&gt;C14),62,IF(D14&gt;C14,"FRA",70))</f>
        <v>62</v>
      </c>
    </row>
    <row r="15" customFormat="false" ht="15" hidden="false" customHeight="false" outlineLevel="0" collapsed="false">
      <c r="A15" s="2" t="n">
        <f aca="false">DATE(YEAR(A14)+1,MONTH(A14),DAY(A14))</f>
        <v>45174</v>
      </c>
      <c r="B15" s="0" t="n">
        <f aca="false">B14+1</f>
        <v>67</v>
      </c>
      <c r="C15" s="6" t="n">
        <v>0</v>
      </c>
      <c r="D15" s="6" t="n">
        <f aca="false">8*$B$2</f>
        <v>17888</v>
      </c>
      <c r="E15" s="6" t="n">
        <f aca="false">E14+$B$4*12</f>
        <v>98940</v>
      </c>
      <c r="F15" s="0" t="n">
        <f aca="false">IF(AND(E15&gt;D15,E15&gt;C15),62,IF(D15&gt;C15,"FRA",70))</f>
        <v>62</v>
      </c>
    </row>
    <row r="16" customFormat="false" ht="15" hidden="false" customHeight="false" outlineLevel="0" collapsed="false">
      <c r="A16" s="2" t="n">
        <f aca="false">DATE(YEAR(A15)+1,MONTH(A15),DAY(A15))</f>
        <v>45540</v>
      </c>
      <c r="B16" s="0" t="n">
        <f aca="false">B15+1</f>
        <v>68</v>
      </c>
      <c r="C16" s="6" t="n">
        <v>0</v>
      </c>
      <c r="D16" s="6" t="n">
        <f aca="false">D15+$B$2*12</f>
        <v>44720</v>
      </c>
      <c r="E16" s="6" t="n">
        <f aca="false">E15+$B$4*12</f>
        <v>118728</v>
      </c>
      <c r="F16" s="0" t="n">
        <f aca="false">IF(AND(E16&gt;D16,E16&gt;C16),62,IF(D16&gt;C16,"FRA",70))</f>
        <v>62</v>
      </c>
    </row>
    <row r="17" customFormat="false" ht="15" hidden="false" customHeight="false" outlineLevel="0" collapsed="false">
      <c r="A17" s="2" t="n">
        <f aca="false">DATE(YEAR(A16)+1,MONTH(A16),DAY(A16))</f>
        <v>45905</v>
      </c>
      <c r="B17" s="0" t="n">
        <f aca="false">B16+1</f>
        <v>69</v>
      </c>
      <c r="C17" s="6" t="n">
        <v>0</v>
      </c>
      <c r="D17" s="6" t="n">
        <f aca="false">D16+$B$2*12</f>
        <v>71552</v>
      </c>
      <c r="E17" s="6" t="n">
        <f aca="false">E16+$B$4*12</f>
        <v>138516</v>
      </c>
      <c r="F17" s="0" t="n">
        <f aca="false">IF(AND(E17&gt;D17,E17&gt;C17),62,IF(D17&gt;C17,"FRA",70))</f>
        <v>62</v>
      </c>
    </row>
    <row r="18" customFormat="false" ht="15" hidden="false" customHeight="false" outlineLevel="0" collapsed="false">
      <c r="A18" s="2" t="n">
        <f aca="false">DATE(YEAR(A17)+1,MONTH(A17),DAY(A17))</f>
        <v>46270</v>
      </c>
      <c r="B18" s="0" t="n">
        <f aca="false">B17+1</f>
        <v>70</v>
      </c>
      <c r="C18" s="6" t="n">
        <v>0</v>
      </c>
      <c r="D18" s="6" t="n">
        <f aca="false">D17+$B$2*12</f>
        <v>98384</v>
      </c>
      <c r="E18" s="6" t="n">
        <f aca="false">E17+$B$4*12</f>
        <v>158304</v>
      </c>
      <c r="F18" s="0" t="n">
        <f aca="false">IF(AND(E18&gt;D18,E18&gt;C18),62,IF(D18&gt;C18,"FRA",70))</f>
        <v>62</v>
      </c>
    </row>
    <row r="19" customFormat="false" ht="15" hidden="false" customHeight="false" outlineLevel="0" collapsed="false">
      <c r="A19" s="2" t="n">
        <f aca="false">DATE(YEAR(A18)+1,MONTH(A18),DAY(A18))</f>
        <v>46635</v>
      </c>
      <c r="B19" s="0" t="n">
        <f aca="false">B18+1</f>
        <v>71</v>
      </c>
      <c r="C19" s="6" t="n">
        <f aca="false">C18+12*$B$3</f>
        <v>34704</v>
      </c>
      <c r="D19" s="6" t="n">
        <f aca="false">D18+$B$2*12</f>
        <v>125216</v>
      </c>
      <c r="E19" s="6" t="n">
        <f aca="false">E18+$B$4*12</f>
        <v>178092</v>
      </c>
      <c r="F19" s="0" t="n">
        <f aca="false">IF(AND(E19&gt;D19,E19&gt;C19),62,IF(D19&gt;C19,"FRA",70))</f>
        <v>62</v>
      </c>
    </row>
    <row r="20" customFormat="false" ht="15" hidden="false" customHeight="false" outlineLevel="0" collapsed="false">
      <c r="A20" s="2" t="n">
        <f aca="false">DATE(YEAR(A19)+1,MONTH(A19),DAY(A19))</f>
        <v>47001</v>
      </c>
      <c r="B20" s="0" t="n">
        <f aca="false">B19+1</f>
        <v>72</v>
      </c>
      <c r="C20" s="6" t="n">
        <f aca="false">C19+12*$B$3</f>
        <v>69408</v>
      </c>
      <c r="D20" s="6" t="n">
        <f aca="false">D19+$B$2*12</f>
        <v>152048</v>
      </c>
      <c r="E20" s="6" t="n">
        <f aca="false">E19+$B$4*12</f>
        <v>197880</v>
      </c>
      <c r="F20" s="0" t="n">
        <f aca="false">IF(AND(E20&gt;D20,E20&gt;C20),62,IF(D20&gt;C20,"FRA",70))</f>
        <v>62</v>
      </c>
    </row>
    <row r="21" customFormat="false" ht="15" hidden="false" customHeight="false" outlineLevel="0" collapsed="false">
      <c r="A21" s="2" t="n">
        <f aca="false">DATE(YEAR(A20)+1,MONTH(A20),DAY(A20))</f>
        <v>47366</v>
      </c>
      <c r="B21" s="0" t="n">
        <f aca="false">B20+1</f>
        <v>73</v>
      </c>
      <c r="C21" s="6" t="n">
        <f aca="false">C20+12*$B$3</f>
        <v>104112</v>
      </c>
      <c r="D21" s="6" t="n">
        <f aca="false">D20+$B$2*12</f>
        <v>178880</v>
      </c>
      <c r="E21" s="6" t="n">
        <f aca="false">E20+$B$4*12</f>
        <v>217668</v>
      </c>
      <c r="F21" s="0" t="n">
        <f aca="false">IF(AND(E21&gt;D21,E21&gt;C21),62,IF(D21&gt;C21,"FRA",70))</f>
        <v>62</v>
      </c>
    </row>
    <row r="22" customFormat="false" ht="15" hidden="false" customHeight="false" outlineLevel="0" collapsed="false">
      <c r="A22" s="2" t="n">
        <f aca="false">DATE(YEAR(A21)+1,MONTH(A21),DAY(A21))</f>
        <v>47731</v>
      </c>
      <c r="B22" s="0" t="n">
        <f aca="false">B21+1</f>
        <v>74</v>
      </c>
      <c r="C22" s="6" t="n">
        <f aca="false">C21+12*$B$3</f>
        <v>138816</v>
      </c>
      <c r="D22" s="6" t="n">
        <f aca="false">D21+$B$2*12</f>
        <v>205712</v>
      </c>
      <c r="E22" s="6" t="n">
        <f aca="false">E21+$B$4*12</f>
        <v>237456</v>
      </c>
      <c r="F22" s="0" t="n">
        <f aca="false">IF(AND(E22&gt;D22,E22&gt;C22),62,IF(D22&gt;C22,"FRA",70))</f>
        <v>62</v>
      </c>
    </row>
    <row r="23" customFormat="false" ht="15" hidden="false" customHeight="false" outlineLevel="0" collapsed="false">
      <c r="A23" s="2" t="n">
        <f aca="false">DATE(YEAR(A22)+1,MONTH(A22),DAY(A22))</f>
        <v>48096</v>
      </c>
      <c r="B23" s="0" t="n">
        <f aca="false">B22+1</f>
        <v>75</v>
      </c>
      <c r="C23" s="6" t="n">
        <f aca="false">C22+12*$B$3</f>
        <v>173520</v>
      </c>
      <c r="D23" s="6" t="n">
        <f aca="false">D22+$B$2*12</f>
        <v>232544</v>
      </c>
      <c r="E23" s="6" t="n">
        <f aca="false">E22+$B$4*12</f>
        <v>257244</v>
      </c>
      <c r="F23" s="0" t="n">
        <f aca="false">IF(AND(E23&gt;D23,E23&gt;C23),62,IF(D23&gt;C23,"FRA",70))</f>
        <v>62</v>
      </c>
    </row>
    <row r="24" customFormat="false" ht="15" hidden="false" customHeight="false" outlineLevel="0" collapsed="false">
      <c r="A24" s="2" t="n">
        <f aca="false">DATE(YEAR(A23)+1,MONTH(A23),DAY(A23))</f>
        <v>48462</v>
      </c>
      <c r="B24" s="0" t="n">
        <f aca="false">B23+1</f>
        <v>76</v>
      </c>
      <c r="C24" s="6" t="n">
        <f aca="false">C23+12*$B$3</f>
        <v>208224</v>
      </c>
      <c r="D24" s="6" t="n">
        <f aca="false">D23+$B$2*12</f>
        <v>259376</v>
      </c>
      <c r="E24" s="6" t="n">
        <f aca="false">E23+$B$4*12</f>
        <v>277032</v>
      </c>
      <c r="F24" s="0" t="n">
        <f aca="false">IF(AND(E24&gt;D24,E24&gt;C24),62,IF(D24&gt;C24,"FRA",70))</f>
        <v>62</v>
      </c>
    </row>
    <row r="25" customFormat="false" ht="15" hidden="false" customHeight="false" outlineLevel="0" collapsed="false">
      <c r="A25" s="2" t="n">
        <f aca="false">DATE(YEAR(A24)+1,MONTH(A24),DAY(A24))</f>
        <v>48827</v>
      </c>
      <c r="B25" s="0" t="n">
        <f aca="false">B24+1</f>
        <v>77</v>
      </c>
      <c r="C25" s="6" t="n">
        <f aca="false">C24+12*$B$3</f>
        <v>242928</v>
      </c>
      <c r="D25" s="6" t="n">
        <f aca="false">D24+$B$2*12</f>
        <v>286208</v>
      </c>
      <c r="E25" s="6" t="n">
        <f aca="false">E24+$B$4*12</f>
        <v>296820</v>
      </c>
      <c r="F25" s="0" t="n">
        <f aca="false">IF(AND(E25&gt;D25,E25&gt;C25),62,IF(D25&gt;C25,"FRA",70))</f>
        <v>62</v>
      </c>
    </row>
    <row r="26" customFormat="false" ht="15" hidden="false" customHeight="false" outlineLevel="0" collapsed="false">
      <c r="A26" s="2" t="n">
        <f aca="false">DATE(YEAR(A25)+1,MONTH(A25),DAY(A25))</f>
        <v>49192</v>
      </c>
      <c r="B26" s="0" t="n">
        <f aca="false">B25+1</f>
        <v>78</v>
      </c>
      <c r="C26" s="6" t="n">
        <f aca="false">C25+12*$B$3</f>
        <v>277632</v>
      </c>
      <c r="D26" s="6" t="n">
        <f aca="false">D25+$B$2*12</f>
        <v>313040</v>
      </c>
      <c r="E26" s="6" t="n">
        <f aca="false">E25+$B$4*12</f>
        <v>316608</v>
      </c>
      <c r="F26" s="0" t="n">
        <f aca="false">IF(AND(E26&gt;D26,E26&gt;C26),62,IF(D26&gt;C26,"FRA",70))</f>
        <v>62</v>
      </c>
    </row>
    <row r="27" customFormat="false" ht="15" hidden="false" customHeight="false" outlineLevel="0" collapsed="false">
      <c r="A27" s="2" t="n">
        <f aca="false">DATE(YEAR(A26)+1,MONTH(A26),DAY(A26))</f>
        <v>49557</v>
      </c>
      <c r="B27" s="0" t="n">
        <f aca="false">B26+1</f>
        <v>79</v>
      </c>
      <c r="C27" s="6" t="n">
        <f aca="false">C26+12*$B$3</f>
        <v>312336</v>
      </c>
      <c r="D27" s="6" t="n">
        <f aca="false">D26+$B$2*12</f>
        <v>339872</v>
      </c>
      <c r="E27" s="6" t="n">
        <f aca="false">E26+$B$4*12</f>
        <v>336396</v>
      </c>
      <c r="F27" s="0" t="str">
        <f aca="false">IF(AND(E27&gt;D27,E27&gt;C27),62,IF(D27&gt;C27,"FRA",70))</f>
        <v>FRA</v>
      </c>
    </row>
    <row r="28" customFormat="false" ht="15" hidden="false" customHeight="false" outlineLevel="0" collapsed="false">
      <c r="A28" s="2" t="n">
        <f aca="false">DATE(YEAR(A27)+1,MONTH(A27),DAY(A27))</f>
        <v>49923</v>
      </c>
      <c r="B28" s="0" t="n">
        <f aca="false">B27+1</f>
        <v>80</v>
      </c>
      <c r="C28" s="6" t="n">
        <f aca="false">C27+12*$B$3</f>
        <v>347040</v>
      </c>
      <c r="D28" s="6" t="n">
        <f aca="false">D27+$B$2*12</f>
        <v>366704</v>
      </c>
      <c r="E28" s="6" t="n">
        <f aca="false">E27+$B$4*12</f>
        <v>356184</v>
      </c>
      <c r="F28" s="0" t="str">
        <f aca="false">IF(AND(E28&gt;D28,E28&gt;C28),62,IF(D28&gt;C28,"FRA",70))</f>
        <v>FRA</v>
      </c>
    </row>
    <row r="29" customFormat="false" ht="15" hidden="false" customHeight="false" outlineLevel="0" collapsed="false">
      <c r="A29" s="2" t="n">
        <f aca="false">DATE(YEAR(A28)+1,MONTH(A28),DAY(A28))</f>
        <v>50288</v>
      </c>
      <c r="B29" s="0" t="n">
        <f aca="false">B28+1</f>
        <v>81</v>
      </c>
      <c r="C29" s="6" t="n">
        <f aca="false">C28+12*$B$3</f>
        <v>381744</v>
      </c>
      <c r="D29" s="6" t="n">
        <f aca="false">D28+$B$2*12</f>
        <v>393536</v>
      </c>
      <c r="E29" s="6" t="n">
        <f aca="false">E28+$B$4*12</f>
        <v>375972</v>
      </c>
      <c r="F29" s="0" t="str">
        <f aca="false">IF(AND(E29&gt;D29,E29&gt;C29),62,IF(D29&gt;C29,"FRA",70))</f>
        <v>FRA</v>
      </c>
    </row>
    <row r="30" customFormat="false" ht="15" hidden="false" customHeight="false" outlineLevel="0" collapsed="false">
      <c r="A30" s="2" t="n">
        <f aca="false">DATE(YEAR(A29)+1,MONTH(A29),DAY(A29))</f>
        <v>50653</v>
      </c>
      <c r="B30" s="0" t="n">
        <f aca="false">B29+1</f>
        <v>82</v>
      </c>
      <c r="C30" s="6" t="n">
        <f aca="false">C29+12*$B$3</f>
        <v>416448</v>
      </c>
      <c r="D30" s="6" t="n">
        <f aca="false">D29+$B$2*12</f>
        <v>420368</v>
      </c>
      <c r="E30" s="6" t="n">
        <f aca="false">E29+$B$4*12</f>
        <v>395760</v>
      </c>
      <c r="F30" s="0" t="str">
        <f aca="false">IF(AND(E30&gt;D30,E30&gt;C30),62,IF(D30&gt;C30,"FRA",70))</f>
        <v>FRA</v>
      </c>
    </row>
    <row r="31" customFormat="false" ht="15" hidden="false" customHeight="false" outlineLevel="0" collapsed="false">
      <c r="A31" s="2" t="n">
        <f aca="false">DATE(YEAR(A30)+1,MONTH(A30),DAY(A30))</f>
        <v>51018</v>
      </c>
      <c r="B31" s="0" t="n">
        <f aca="false">B30+1</f>
        <v>83</v>
      </c>
      <c r="C31" s="6" t="n">
        <f aca="false">C30+12*$B$3</f>
        <v>451152</v>
      </c>
      <c r="D31" s="6" t="n">
        <f aca="false">D30+$B$2*12</f>
        <v>447200</v>
      </c>
      <c r="E31" s="6" t="n">
        <f aca="false">E30+$B$4*12</f>
        <v>415548</v>
      </c>
      <c r="F31" s="0" t="n">
        <f aca="false">IF(AND(E31&gt;D31,E31&gt;C31),62,IF(D31&gt;C31,"FRA",70))</f>
        <v>70</v>
      </c>
    </row>
    <row r="32" customFormat="false" ht="15" hidden="false" customHeight="false" outlineLevel="0" collapsed="false">
      <c r="A32" s="2" t="n">
        <f aca="false">DATE(YEAR(A31)+1,MONTH(A31),DAY(A31))</f>
        <v>51384</v>
      </c>
      <c r="B32" s="0" t="n">
        <f aca="false">B31+1</f>
        <v>84</v>
      </c>
      <c r="C32" s="6" t="n">
        <f aca="false">C31+12*$B$3</f>
        <v>485856</v>
      </c>
      <c r="D32" s="6" t="n">
        <f aca="false">D31+$B$2*12</f>
        <v>474032</v>
      </c>
      <c r="E32" s="6" t="n">
        <f aca="false">E31+$B$4*12</f>
        <v>435336</v>
      </c>
      <c r="F32" s="0" t="n">
        <f aca="false">IF(AND(E32&gt;D32,E32&gt;C32),62,IF(D32&gt;C32,"FRA",70))</f>
        <v>70</v>
      </c>
    </row>
    <row r="33" customFormat="false" ht="15" hidden="false" customHeight="false" outlineLevel="0" collapsed="false">
      <c r="A33" s="2" t="n">
        <f aca="false">DATE(YEAR(A32)+1,MONTH(A32),DAY(A32))</f>
        <v>51749</v>
      </c>
      <c r="B33" s="0" t="n">
        <f aca="false">B32+1</f>
        <v>85</v>
      </c>
      <c r="C33" s="6" t="n">
        <f aca="false">C32+12*$B$3</f>
        <v>520560</v>
      </c>
      <c r="D33" s="6" t="n">
        <f aca="false">D32+$B$2*12</f>
        <v>500864</v>
      </c>
      <c r="E33" s="6" t="n">
        <f aca="false">E32+$B$4*12</f>
        <v>455124</v>
      </c>
      <c r="F33" s="0" t="n">
        <f aca="false">IF(AND(E33&gt;D33,E33&gt;C33),62,IF(D33&gt;C33,"FRA",70))</f>
        <v>70</v>
      </c>
    </row>
    <row r="34" customFormat="false" ht="15" hidden="false" customHeight="false" outlineLevel="0" collapsed="false">
      <c r="A34" s="2" t="n">
        <f aca="false">DATE(YEAR(A33)+1,MONTH(A33),DAY(A33))</f>
        <v>52114</v>
      </c>
      <c r="B34" s="0" t="n">
        <f aca="false">B33+1</f>
        <v>86</v>
      </c>
      <c r="C34" s="6" t="n">
        <f aca="false">C33+12*$B$3</f>
        <v>555264</v>
      </c>
      <c r="D34" s="6" t="n">
        <f aca="false">D33+$B$2*12</f>
        <v>527696</v>
      </c>
      <c r="E34" s="6" t="n">
        <f aca="false">E33+$B$4*12</f>
        <v>474912</v>
      </c>
      <c r="F34" s="0" t="n">
        <f aca="false">IF(AND(E34&gt;D34,E34&gt;C34),62,IF(D34&gt;C34,"FRA",70))</f>
        <v>70</v>
      </c>
    </row>
    <row r="35" customFormat="false" ht="15" hidden="false" customHeight="false" outlineLevel="0" collapsed="false">
      <c r="A35" s="2" t="n">
        <f aca="false">DATE(YEAR(A34)+1,MONTH(A34),DAY(A34))</f>
        <v>52479</v>
      </c>
      <c r="B35" s="0" t="n">
        <f aca="false">B34+1</f>
        <v>87</v>
      </c>
      <c r="C35" s="6" t="n">
        <f aca="false">C34+12*$B$3</f>
        <v>589968</v>
      </c>
      <c r="D35" s="6" t="n">
        <f aca="false">D34+$B$2*12</f>
        <v>554528</v>
      </c>
      <c r="E35" s="6" t="n">
        <f aca="false">E34+$B$4*12</f>
        <v>494700</v>
      </c>
      <c r="F35" s="0" t="n">
        <f aca="false">IF(AND(E35&gt;D35,E35&gt;C35),62,IF(D35&gt;C35,"FRA",70))</f>
        <v>70</v>
      </c>
    </row>
    <row r="36" customFormat="false" ht="15" hidden="false" customHeight="false" outlineLevel="0" collapsed="false">
      <c r="A36" s="2" t="n">
        <f aca="false">DATE(YEAR(A35)+1,MONTH(A35),DAY(A35))</f>
        <v>52845</v>
      </c>
      <c r="B36" s="0" t="n">
        <f aca="false">B35+1</f>
        <v>88</v>
      </c>
      <c r="C36" s="6" t="n">
        <f aca="false">C35+12*$B$3</f>
        <v>624672</v>
      </c>
      <c r="D36" s="6" t="n">
        <f aca="false">D35+$B$2*12</f>
        <v>581360</v>
      </c>
      <c r="E36" s="6" t="n">
        <f aca="false">E35+$B$4*12</f>
        <v>514488</v>
      </c>
      <c r="F36" s="0" t="n">
        <f aca="false">IF(AND(E36&gt;D36,E36&gt;C36),62,IF(D36&gt;C36,"FRA",70))</f>
        <v>70</v>
      </c>
    </row>
    <row r="37" customFormat="false" ht="15" hidden="false" customHeight="false" outlineLevel="0" collapsed="false">
      <c r="A37" s="2" t="n">
        <f aca="false">DATE(YEAR(A36)+1,MONTH(A36),DAY(A36))</f>
        <v>53210</v>
      </c>
      <c r="B37" s="0" t="n">
        <f aca="false">B36+1</f>
        <v>89</v>
      </c>
      <c r="C37" s="6" t="n">
        <f aca="false">C36+12*$B$3</f>
        <v>659376</v>
      </c>
      <c r="D37" s="6" t="n">
        <f aca="false">D36+$B$2*12</f>
        <v>608192</v>
      </c>
      <c r="E37" s="6" t="n">
        <f aca="false">E36+$B$4*12</f>
        <v>534276</v>
      </c>
      <c r="F37" s="0" t="n">
        <f aca="false">IF(AND(E37&gt;D37,E37&gt;C37),62,IF(D37&gt;C37,"FRA",70))</f>
        <v>70</v>
      </c>
    </row>
    <row r="38" customFormat="false" ht="15" hidden="false" customHeight="false" outlineLevel="0" collapsed="false">
      <c r="A38" s="2" t="n">
        <f aca="false">DATE(YEAR(A37)+1,MONTH(A37),DAY(A37))</f>
        <v>53575</v>
      </c>
      <c r="B38" s="0" t="n">
        <f aca="false">B37+1</f>
        <v>90</v>
      </c>
      <c r="C38" s="6" t="n">
        <f aca="false">C37+12*$B$3</f>
        <v>694080</v>
      </c>
      <c r="D38" s="6" t="n">
        <f aca="false">D37+$B$2*12</f>
        <v>635024</v>
      </c>
      <c r="E38" s="6" t="n">
        <f aca="false">E37+$B$4*12</f>
        <v>554064</v>
      </c>
      <c r="F38" s="0" t="n">
        <f aca="false">IF(AND(E38&gt;D38,E38&gt;C38),62,IF(D38&gt;C38,"FRA",70))</f>
        <v>70</v>
      </c>
    </row>
    <row r="39" customFormat="false" ht="15" hidden="false" customHeight="false" outlineLevel="0" collapsed="false">
      <c r="A39" s="2" t="n">
        <f aca="false">DATE(YEAR(A38)+1,MONTH(A38),DAY(A38))</f>
        <v>53940</v>
      </c>
      <c r="B39" s="0" t="n">
        <f aca="false">B38+1</f>
        <v>91</v>
      </c>
      <c r="C39" s="6" t="n">
        <f aca="false">C38+12*$B$3</f>
        <v>728784</v>
      </c>
      <c r="D39" s="6" t="n">
        <f aca="false">D38+$B$2*12</f>
        <v>661856</v>
      </c>
      <c r="E39" s="6" t="n">
        <f aca="false">E38+$B$4*12</f>
        <v>573852</v>
      </c>
      <c r="F39" s="0" t="n">
        <f aca="false">IF(AND(E39&gt;D39,E39&gt;C39),62,IF(D39&gt;C39,"FRA",70))</f>
        <v>70</v>
      </c>
    </row>
    <row r="40" customFormat="false" ht="15" hidden="false" customHeight="false" outlineLevel="0" collapsed="false">
      <c r="A40" s="2" t="n">
        <f aca="false">DATE(YEAR(A39)+1,MONTH(A39),DAY(A39))</f>
        <v>54306</v>
      </c>
      <c r="B40" s="0" t="n">
        <f aca="false">B39+1</f>
        <v>92</v>
      </c>
      <c r="C40" s="6" t="n">
        <f aca="false">C39+12*$B$3</f>
        <v>763488</v>
      </c>
      <c r="D40" s="6" t="n">
        <f aca="false">D39+$B$2*12</f>
        <v>688688</v>
      </c>
      <c r="E40" s="6" t="n">
        <f aca="false">E39+$B$4*12</f>
        <v>593640</v>
      </c>
      <c r="F40" s="0" t="n">
        <f aca="false">IF(AND(E40&gt;D40,E40&gt;C40),62,IF(D40&gt;C40,"FRA",70))</f>
        <v>70</v>
      </c>
    </row>
    <row r="41" customFormat="false" ht="15" hidden="false" customHeight="false" outlineLevel="0" collapsed="false">
      <c r="A41" s="2" t="n">
        <f aca="false">DATE(YEAR(A40)+1,MONTH(A40),DAY(A40))</f>
        <v>54671</v>
      </c>
      <c r="B41" s="0" t="n">
        <f aca="false">B40+1</f>
        <v>93</v>
      </c>
      <c r="C41" s="6" t="n">
        <f aca="false">C40+12*$B$3</f>
        <v>798192</v>
      </c>
      <c r="D41" s="6" t="n">
        <f aca="false">D40+$B$2*12</f>
        <v>715520</v>
      </c>
      <c r="E41" s="6" t="n">
        <f aca="false">E40+$B$4*12</f>
        <v>613428</v>
      </c>
      <c r="F41" s="0" t="n">
        <f aca="false">IF(AND(E41&gt;D41,E41&gt;C41),62,IF(D41&gt;C41,"FRA",70))</f>
        <v>70</v>
      </c>
    </row>
    <row r="42" customFormat="false" ht="15" hidden="false" customHeight="false" outlineLevel="0" collapsed="false">
      <c r="A42" s="2" t="n">
        <f aca="false">DATE(YEAR(A41)+1,MONTH(A41),DAY(A41))</f>
        <v>55036</v>
      </c>
      <c r="B42" s="0" t="n">
        <f aca="false">B41+1</f>
        <v>94</v>
      </c>
      <c r="C42" s="6" t="n">
        <f aca="false">C41+12*$B$3</f>
        <v>832896</v>
      </c>
      <c r="D42" s="6" t="n">
        <f aca="false">D41+$B$2*12</f>
        <v>742352</v>
      </c>
      <c r="E42" s="6" t="n">
        <f aca="false">E41+$B$4*12</f>
        <v>633216</v>
      </c>
      <c r="F42" s="0" t="n">
        <f aca="false">IF(AND(E42&gt;D42,E42&gt;C42),62,IF(D42&gt;C42,"FRA",70))</f>
        <v>70</v>
      </c>
    </row>
    <row r="43" customFormat="false" ht="15" hidden="false" customHeight="false" outlineLevel="0" collapsed="false">
      <c r="A43" s="2" t="n">
        <f aca="false">DATE(YEAR(A42)+1,MONTH(A42),DAY(A42))</f>
        <v>55401</v>
      </c>
      <c r="B43" s="0" t="n">
        <f aca="false">B42+1</f>
        <v>95</v>
      </c>
      <c r="C43" s="6" t="n">
        <f aca="false">C42+12*$B$3</f>
        <v>867600</v>
      </c>
      <c r="D43" s="6" t="n">
        <f aca="false">D42+$B$2*12</f>
        <v>769184</v>
      </c>
      <c r="E43" s="6" t="n">
        <f aca="false">E42+$B$4*12</f>
        <v>653004</v>
      </c>
      <c r="F43" s="0" t="n">
        <f aca="false">IF(AND(E43&gt;D43,E43&gt;C43),62,IF(D43&gt;C43,"FRA",70))</f>
        <v>70</v>
      </c>
    </row>
    <row r="44" customFormat="false" ht="15" hidden="false" customHeight="false" outlineLevel="0" collapsed="false">
      <c r="A44" s="2" t="n">
        <f aca="false">DATE(YEAR(A43)+1,MONTH(A43),DAY(A43))</f>
        <v>55767</v>
      </c>
      <c r="B44" s="0" t="n">
        <f aca="false">B43+1</f>
        <v>96</v>
      </c>
      <c r="C44" s="6" t="n">
        <f aca="false">C43+12*$B$3</f>
        <v>902304</v>
      </c>
      <c r="D44" s="6" t="n">
        <f aca="false">D43+$B$2*12</f>
        <v>796016</v>
      </c>
      <c r="E44" s="6" t="n">
        <f aca="false">E43+$B$4*12</f>
        <v>672792</v>
      </c>
      <c r="F44" s="0" t="n">
        <f aca="false">IF(AND(E44&gt;D44,E44&gt;C44),62,IF(D44&gt;C44,"FRA",70))</f>
        <v>70</v>
      </c>
    </row>
    <row r="45" customFormat="false" ht="15" hidden="false" customHeight="false" outlineLevel="0" collapsed="false">
      <c r="A45" s="2" t="n">
        <f aca="false">DATE(YEAR(A44)+1,MONTH(A44),DAY(A44))</f>
        <v>56132</v>
      </c>
      <c r="B45" s="0" t="n">
        <f aca="false">B44+1</f>
        <v>97</v>
      </c>
      <c r="C45" s="6" t="n">
        <f aca="false">C44+12*$B$3</f>
        <v>937008</v>
      </c>
      <c r="D45" s="6" t="n">
        <f aca="false">D44+$B$2*12</f>
        <v>822848</v>
      </c>
      <c r="E45" s="6" t="n">
        <f aca="false">E44+$B$4*12</f>
        <v>692580</v>
      </c>
      <c r="F45" s="0" t="n">
        <f aca="false">IF(AND(E45&gt;D45,E45&gt;C45),62,IF(D45&gt;C45,"FRA",70))</f>
        <v>70</v>
      </c>
    </row>
    <row r="46" customFormat="false" ht="15" hidden="false" customHeight="false" outlineLevel="0" collapsed="false">
      <c r="A46" s="2" t="n">
        <f aca="false">DATE(YEAR(A45)+1,MONTH(A45),DAY(A45))</f>
        <v>56497</v>
      </c>
      <c r="B46" s="0" t="n">
        <f aca="false">B45+1</f>
        <v>98</v>
      </c>
      <c r="C46" s="6" t="n">
        <f aca="false">C45+12*$B$3</f>
        <v>971712</v>
      </c>
      <c r="D46" s="6" t="n">
        <f aca="false">D45+$B$2*12</f>
        <v>849680</v>
      </c>
      <c r="E46" s="6" t="n">
        <f aca="false">E45+$B$4*12</f>
        <v>712368</v>
      </c>
      <c r="F46" s="0" t="n">
        <f aca="false">IF(AND(E46&gt;D46,E46&gt;C46),62,IF(D46&gt;C46,"FRA",70))</f>
        <v>70</v>
      </c>
    </row>
    <row r="47" customFormat="false" ht="15" hidden="false" customHeight="false" outlineLevel="0" collapsed="false">
      <c r="A47" s="2" t="n">
        <f aca="false">DATE(YEAR(A46)+1,MONTH(A46),DAY(A46))</f>
        <v>56862</v>
      </c>
      <c r="B47" s="0" t="n">
        <f aca="false">B46+1</f>
        <v>99</v>
      </c>
      <c r="C47" s="6" t="n">
        <f aca="false">C46+12*$B$3</f>
        <v>1006416</v>
      </c>
      <c r="D47" s="6" t="n">
        <f aca="false">D46+$B$2*12</f>
        <v>876512</v>
      </c>
      <c r="E47" s="6" t="n">
        <f aca="false">E46+$B$4*12</f>
        <v>732156</v>
      </c>
      <c r="F47" s="0" t="n">
        <f aca="false">IF(AND(E47&gt;D47,E47&gt;C47),62,IF(D47&gt;C47,"FRA",70))</f>
        <v>70</v>
      </c>
    </row>
    <row r="48" customFormat="false" ht="15" hidden="false" customHeight="false" outlineLevel="0" collapsed="false">
      <c r="A48" s="2" t="n">
        <f aca="false">DATE(YEAR(A47)+1,MONTH(A47),DAY(A47))</f>
        <v>57228</v>
      </c>
      <c r="B48" s="0" t="n">
        <f aca="false">B47+1</f>
        <v>100</v>
      </c>
      <c r="C48" s="6" t="n">
        <f aca="false">C47+12*$B$3</f>
        <v>1041120</v>
      </c>
      <c r="D48" s="6" t="n">
        <f aca="false">D47+$B$2*12</f>
        <v>903344</v>
      </c>
      <c r="E48" s="6" t="n">
        <f aca="false">E47+$B$4*12</f>
        <v>751944</v>
      </c>
      <c r="F48" s="0" t="n">
        <f aca="false">IF(AND(E48&gt;D48,E48&gt;C48),62,IF(D48&gt;C48,"FRA",70))</f>
        <v>70</v>
      </c>
    </row>
    <row r="49" customFormat="false" ht="15" hidden="false" customHeight="false" outlineLevel="0" collapsed="false">
      <c r="A49" s="2" t="n">
        <f aca="false">DATE(YEAR(A48)+1,MONTH(A48),DAY(A48))</f>
        <v>57593</v>
      </c>
      <c r="B49" s="0" t="n">
        <f aca="false">B48+1</f>
        <v>101</v>
      </c>
      <c r="C49" s="6" t="n">
        <f aca="false">C48+12*$B$3</f>
        <v>1075824</v>
      </c>
      <c r="D49" s="6" t="n">
        <f aca="false">D48+$B$2*12</f>
        <v>930176</v>
      </c>
      <c r="E49" s="6" t="n">
        <f aca="false">E48+$B$4*12</f>
        <v>771732</v>
      </c>
      <c r="F49" s="0" t="n">
        <f aca="false">IF(AND(E49&gt;D49,E49&gt;C49),62,IF(D49&gt;C49,"FRA",70))</f>
        <v>70</v>
      </c>
    </row>
    <row r="50" customFormat="false" ht="15" hidden="false" customHeight="false" outlineLevel="0" collapsed="false">
      <c r="A50" s="2" t="n">
        <f aca="false">DATE(YEAR(A49)+1,MONTH(A49),DAY(A49))</f>
        <v>57958</v>
      </c>
      <c r="B50" s="0" t="n">
        <f aca="false">B49+1</f>
        <v>102</v>
      </c>
      <c r="C50" s="6" t="n">
        <f aca="false">C49+12*$B$3</f>
        <v>1110528</v>
      </c>
      <c r="D50" s="6" t="n">
        <f aca="false">D49+$B$2*12</f>
        <v>957008</v>
      </c>
      <c r="E50" s="6" t="n">
        <f aca="false">E49+$B$4*12</f>
        <v>791520</v>
      </c>
      <c r="F50" s="0" t="n">
        <f aca="false">IF(AND(E50&gt;D50,E50&gt;C50),62,IF(D50&gt;C50,"FRA",70))</f>
        <v>70</v>
      </c>
    </row>
    <row r="51" customFormat="false" ht="15" hidden="false" customHeight="false" outlineLevel="0" collapsed="false">
      <c r="A51" s="2" t="n">
        <f aca="false">DATE(YEAR(A50)+1,MONTH(A50),DAY(A50))</f>
        <v>58323</v>
      </c>
      <c r="B51" s="0" t="n">
        <f aca="false">B50+1</f>
        <v>103</v>
      </c>
      <c r="C51" s="6" t="n">
        <f aca="false">C50+12*$B$3</f>
        <v>1145232</v>
      </c>
      <c r="D51" s="6" t="n">
        <f aca="false">D50+$B$2*12</f>
        <v>983840</v>
      </c>
      <c r="E51" s="6" t="n">
        <f aca="false">E50+$B$4*12</f>
        <v>811308</v>
      </c>
      <c r="F51" s="0" t="n">
        <f aca="false">IF(AND(E51&gt;D51,E51&gt;C51),62,IF(D51&gt;C51,"FRA",70))</f>
        <v>70</v>
      </c>
    </row>
    <row r="52" customFormat="false" ht="15" hidden="false" customHeight="false" outlineLevel="0" collapsed="false">
      <c r="A52" s="2" t="n">
        <f aca="false">DATE(YEAR(A51)+1,MONTH(A51),DAY(A51))</f>
        <v>58689</v>
      </c>
      <c r="B52" s="0" t="n">
        <f aca="false">B51+1</f>
        <v>104</v>
      </c>
      <c r="C52" s="6" t="n">
        <f aca="false">C51+12*$B$3</f>
        <v>1179936</v>
      </c>
      <c r="D52" s="6" t="n">
        <f aca="false">D51+$B$2*12</f>
        <v>1010672</v>
      </c>
      <c r="E52" s="6" t="n">
        <f aca="false">E51+$B$4*12</f>
        <v>831096</v>
      </c>
      <c r="F52" s="0" t="n">
        <f aca="false">IF(AND(E52&gt;D52,E52&gt;C52),62,IF(D52&gt;C52,"FRA",70))</f>
        <v>70</v>
      </c>
    </row>
    <row r="53" customFormat="false" ht="15" hidden="false" customHeight="false" outlineLevel="0" collapsed="false">
      <c r="A53" s="2" t="n">
        <f aca="false">DATE(YEAR(A52)+1,MONTH(A52),DAY(A52))</f>
        <v>59054</v>
      </c>
      <c r="B53" s="0" t="n">
        <f aca="false">B52+1</f>
        <v>105</v>
      </c>
      <c r="C53" s="6" t="n">
        <f aca="false">C52+12*$B$3</f>
        <v>1214640</v>
      </c>
      <c r="D53" s="6" t="n">
        <f aca="false">D52+$B$2*12</f>
        <v>1037504</v>
      </c>
      <c r="E53" s="6" t="n">
        <f aca="false">E52+$B$4*12</f>
        <v>850884</v>
      </c>
      <c r="F53" s="0" t="n">
        <f aca="false">IF(AND(E53&gt;D53,E53&gt;C53),62,IF(D53&gt;C53,"FRA",70))</f>
        <v>70</v>
      </c>
    </row>
    <row r="54" customFormat="false" ht="15" hidden="false" customHeight="false" outlineLevel="0" collapsed="false">
      <c r="A54" s="2" t="n">
        <f aca="false">DATE(YEAR(A53)+1,MONTH(A53),DAY(A53))</f>
        <v>59419</v>
      </c>
      <c r="B54" s="0" t="n">
        <f aca="false">B53+1</f>
        <v>106</v>
      </c>
      <c r="C54" s="6" t="n">
        <f aca="false">C53+12*$B$3</f>
        <v>1249344</v>
      </c>
      <c r="D54" s="6" t="n">
        <f aca="false">D53+$B$2*12</f>
        <v>1064336</v>
      </c>
      <c r="E54" s="6" t="n">
        <f aca="false">E53+$B$4*12</f>
        <v>870672</v>
      </c>
      <c r="F54" s="0" t="n">
        <f aca="false">IF(AND(E54&gt;D54,E54&gt;C54),62,IF(D54&gt;C54,"FRA",70))</f>
        <v>70</v>
      </c>
    </row>
    <row r="55" customFormat="false" ht="15" hidden="false" customHeight="false" outlineLevel="0" collapsed="false">
      <c r="A55" s="2" t="n">
        <f aca="false">DATE(YEAR(A54)+1,MONTH(A54),DAY(A54))</f>
        <v>59784</v>
      </c>
      <c r="B55" s="0" t="n">
        <f aca="false">B54+1</f>
        <v>107</v>
      </c>
      <c r="C55" s="6" t="n">
        <f aca="false">C54+12*$B$3</f>
        <v>1284048</v>
      </c>
      <c r="D55" s="6" t="n">
        <f aca="false">D54+$B$2*12</f>
        <v>1091168</v>
      </c>
      <c r="E55" s="6" t="n">
        <f aca="false">E54+$B$4*12</f>
        <v>890460</v>
      </c>
      <c r="F55" s="0" t="n">
        <f aca="false">IF(AND(E55&gt;D55,E55&gt;C55),62,IF(D55&gt;C55,"FRA",70))</f>
        <v>70</v>
      </c>
    </row>
    <row r="56" customFormat="false" ht="15" hidden="false" customHeight="false" outlineLevel="0" collapsed="false">
      <c r="A56" s="2" t="n">
        <f aca="false">DATE(YEAR(A55)+1,MONTH(A55),DAY(A55))</f>
        <v>60150</v>
      </c>
      <c r="B56" s="0" t="n">
        <f aca="false">B55+1</f>
        <v>108</v>
      </c>
      <c r="C56" s="6" t="n">
        <f aca="false">C55+12*$B$3</f>
        <v>1318752</v>
      </c>
      <c r="D56" s="6" t="n">
        <f aca="false">D55+$B$2*12</f>
        <v>1118000</v>
      </c>
      <c r="E56" s="6" t="n">
        <f aca="false">E55+$B$4*12</f>
        <v>910248</v>
      </c>
      <c r="F56" s="0" t="n">
        <f aca="false">IF(AND(E56&gt;D56,E56&gt;C56),62,IF(D56&gt;C56,"FRA",70))</f>
        <v>70</v>
      </c>
    </row>
    <row r="57" customFormat="false" ht="15" hidden="false" customHeight="false" outlineLevel="0" collapsed="false">
      <c r="A57" s="2" t="n">
        <f aca="false">DATE(YEAR(A56)+1,MONTH(A56),DAY(A56))</f>
        <v>60515</v>
      </c>
      <c r="B57" s="0" t="n">
        <f aca="false">B56+1</f>
        <v>109</v>
      </c>
      <c r="C57" s="6" t="n">
        <f aca="false">C56+12*$B$3</f>
        <v>1353456</v>
      </c>
      <c r="D57" s="6" t="n">
        <f aca="false">D56+$B$2*12</f>
        <v>1144832</v>
      </c>
      <c r="E57" s="6" t="n">
        <f aca="false">E56+$B$4*12</f>
        <v>930036</v>
      </c>
      <c r="F57" s="0" t="n">
        <f aca="false">IF(AND(E57&gt;D57,E57&gt;C57),62,IF(D57&gt;C57,"FRA",70))</f>
        <v>70</v>
      </c>
    </row>
    <row r="58" customFormat="false" ht="15" hidden="false" customHeight="false" outlineLevel="0" collapsed="false">
      <c r="A58" s="2" t="n">
        <f aca="false">DATE(YEAR(A57)+1,MONTH(A57),DAY(A57))</f>
        <v>60880</v>
      </c>
      <c r="B58" s="0" t="n">
        <f aca="false">B57+1</f>
        <v>110</v>
      </c>
      <c r="C58" s="6" t="n">
        <f aca="false">C57+12*$B$3</f>
        <v>1388160</v>
      </c>
      <c r="D58" s="6" t="n">
        <f aca="false">D57+$B$2*12</f>
        <v>1171664</v>
      </c>
      <c r="E58" s="6" t="n">
        <f aca="false">E57+$B$4*12</f>
        <v>949824</v>
      </c>
      <c r="F58" s="0" t="n">
        <f aca="false">IF(AND(E58&gt;D58,E58&gt;C58),62,IF(D58&gt;C58,"FRA",70))</f>
        <v>70</v>
      </c>
    </row>
  </sheetData>
  <mergeCells count="4"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8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23.5748987854251"/>
    <col collapsed="false" hidden="false" max="3" min="2" style="0" width="14.2834008097166"/>
    <col collapsed="false" hidden="false" max="4" min="4" style="0" width="11.5708502024291"/>
    <col collapsed="false" hidden="false" max="5" min="5" style="0" width="14.7125506072875"/>
    <col collapsed="false" hidden="false" max="7" min="6" style="0" width="11.9959514170041"/>
    <col collapsed="false" hidden="false" max="8" min="8" style="0" width="11.5708502024291"/>
    <col collapsed="false" hidden="false" max="9" min="9" style="0" width="10.8542510121457"/>
    <col collapsed="false" hidden="false" max="11" min="10" style="0" width="24.4251012145749"/>
    <col collapsed="false" hidden="false" max="13" min="12" style="0" width="10.8542510121457"/>
    <col collapsed="false" hidden="false" max="14" min="14" style="0" width="11.1417004048583"/>
    <col collapsed="false" hidden="false" max="15" min="15" style="0" width="23.8502024291498"/>
    <col collapsed="false" hidden="false" max="16" min="16" style="0" width="25.1457489878543"/>
    <col collapsed="false" hidden="false" max="17" min="17" style="0" width="8.5748987854251"/>
    <col collapsed="false" hidden="false" max="18" min="18" style="0" width="10.1417004048583"/>
    <col collapsed="false" hidden="false" max="19" min="19" style="0" width="11.9959514170041"/>
    <col collapsed="false" hidden="false" max="21" min="20" style="0" width="10.1417004048583"/>
    <col collapsed="false" hidden="false" max="1025" min="22" style="0" width="8.5748987854251"/>
  </cols>
  <sheetData>
    <row r="1" customFormat="false" ht="15" hidden="false" customHeight="false" outlineLevel="0" collapsed="false">
      <c r="A1" s="0" t="s">
        <v>0</v>
      </c>
      <c r="B1" s="0" t="s">
        <v>19</v>
      </c>
      <c r="C1" s="0" t="s">
        <v>2</v>
      </c>
      <c r="E1" s="1" t="s">
        <v>20</v>
      </c>
      <c r="F1" s="1"/>
      <c r="G1" s="2" t="n">
        <v>24474</v>
      </c>
      <c r="I1" s="0" t="s">
        <v>21</v>
      </c>
      <c r="J1" s="0" t="str">
        <f aca="false">IF($G$1&gt;$G$3,"Younger","Older")</f>
        <v>Younger</v>
      </c>
      <c r="K1" s="0" t="s">
        <v>19</v>
      </c>
    </row>
    <row r="2" customFormat="false" ht="15" hidden="false" customHeight="false" outlineLevel="0" collapsed="false">
      <c r="A2" s="0" t="s">
        <v>5</v>
      </c>
      <c r="B2" s="0" t="n">
        <v>2600</v>
      </c>
      <c r="C2" s="0" t="n">
        <f aca="false">B2-500</f>
        <v>2100</v>
      </c>
      <c r="E2" s="1" t="s">
        <v>6</v>
      </c>
      <c r="F2" s="1"/>
      <c r="G2" s="0" t="n">
        <f aca="true">(TODAY()-G1)/365.25</f>
        <v>47.4715947980835</v>
      </c>
      <c r="I2" s="0" t="s">
        <v>22</v>
      </c>
      <c r="J2" s="0" t="str">
        <f aca="false">IF($G$1&lt;$G$3,"Younger","Older")</f>
        <v>Older</v>
      </c>
      <c r="K2" s="0" t="s">
        <v>2</v>
      </c>
      <c r="N2" s="0" t="s">
        <v>23</v>
      </c>
    </row>
    <row r="3" customFormat="false" ht="15" hidden="false" customHeight="false" outlineLevel="0" collapsed="false">
      <c r="A3" s="0" t="s">
        <v>8</v>
      </c>
      <c r="B3" s="0" t="n">
        <v>3000</v>
      </c>
      <c r="C3" s="0" t="n">
        <f aca="false">B3-500</f>
        <v>2500</v>
      </c>
      <c r="E3" s="1" t="s">
        <v>9</v>
      </c>
      <c r="F3" s="1"/>
      <c r="G3" s="2" t="n">
        <v>20853</v>
      </c>
      <c r="N3" s="0" t="s">
        <v>24</v>
      </c>
    </row>
    <row r="4" customFormat="false" ht="15" hidden="false" customHeight="false" outlineLevel="0" collapsed="false">
      <c r="A4" s="0" t="s">
        <v>10</v>
      </c>
      <c r="B4" s="0" t="n">
        <v>1700</v>
      </c>
      <c r="C4" s="0" t="n">
        <f aca="false">B4-500</f>
        <v>1200</v>
      </c>
      <c r="E4" s="1" t="s">
        <v>6</v>
      </c>
      <c r="F4" s="1"/>
      <c r="G4" s="0" t="n">
        <f aca="true">(TODAY()-G3)/365.25</f>
        <v>57.3853524982888</v>
      </c>
      <c r="N4" s="0" t="s">
        <v>25</v>
      </c>
    </row>
    <row r="6" customFormat="false" ht="15" hidden="false" customHeight="false" outlineLevel="0" collapsed="false">
      <c r="H6" s="0" t="n">
        <f aca="false">MONTH(MIN($G$1,$G$3))-MONTH(MAX($G$1,$G$3))</f>
        <v>1</v>
      </c>
      <c r="I6" s="0" t="n">
        <f aca="false">IF(MONTH(MIN($G$1,$G$3))-MONTH(MAX($G$1,$G$3))&lt;0,12-ABS(MONTH(MIN($G$1,$G$3))-MONTH(MAX($G$1,$G$3))),12-ABS(MONTH(MIN($G$1,$G$3))-MONTH(MAX($G$1,$G$3))))</f>
        <v>11</v>
      </c>
      <c r="J6" s="0" t="s">
        <v>26</v>
      </c>
    </row>
    <row r="8" customFormat="false" ht="15" hidden="false" customHeight="false" outlineLevel="0" collapsed="false">
      <c r="A8" s="0" t="s">
        <v>11</v>
      </c>
      <c r="G8" s="0" t="s">
        <v>27</v>
      </c>
      <c r="H8" s="0" t="str">
        <f aca="false">"Older"&amp;" "&amp;VLOOKUP("Older",$J$1:$K$2,2,0)</f>
        <v>Older Spouse</v>
      </c>
      <c r="L8" s="0" t="s">
        <v>28</v>
      </c>
      <c r="M8" s="0" t="str">
        <f aca="false">"Younger"&amp;" "&amp;VLOOKUP("Younger",$J$1:$K$2,2,0)</f>
        <v>Younger User</v>
      </c>
      <c r="AB8" s="0" t="s">
        <v>29</v>
      </c>
    </row>
    <row r="9" customFormat="false" ht="15" hidden="false" customHeight="false" outlineLevel="0" collapsed="false">
      <c r="A9" s="0" t="s">
        <v>12</v>
      </c>
      <c r="B9" s="0" t="str">
        <f aca="false">"Older"&amp;" "&amp;VLOOKUP("Older",$J$1:$K$2,2,0)</f>
        <v>Older Spouse</v>
      </c>
      <c r="C9" s="0" t="str">
        <f aca="false">"Younger"&amp;" "&amp;VLOOKUP("Younger",$J$1:$K$2,2,0)</f>
        <v>Younger User</v>
      </c>
      <c r="D9" s="0" t="s">
        <v>17</v>
      </c>
      <c r="G9" s="3" t="s">
        <v>14</v>
      </c>
      <c r="H9" s="4" t="s">
        <v>15</v>
      </c>
      <c r="I9" s="5" t="s">
        <v>16</v>
      </c>
      <c r="J9" s="5" t="s">
        <v>30</v>
      </c>
      <c r="K9" s="5" t="s">
        <v>31</v>
      </c>
      <c r="L9" s="3" t="s">
        <v>14</v>
      </c>
      <c r="M9" s="4" t="s">
        <v>15</v>
      </c>
      <c r="N9" s="5" t="s">
        <v>16</v>
      </c>
      <c r="O9" s="5" t="s">
        <v>32</v>
      </c>
      <c r="P9" s="5" t="s">
        <v>33</v>
      </c>
      <c r="Q9" s="3" t="str">
        <f aca="false">LEFT($B$9,1)&amp;"70"&amp;"+"&amp;LEFT($C$9,1)&amp;"70"</f>
        <v>O70+Y70</v>
      </c>
      <c r="R9" s="3" t="str">
        <f aca="false">LEFT($B$9,1)&amp;"70"&amp;"+"&amp;LEFT($C$9,1)&amp;"FRA"</f>
        <v>O70+YFRA</v>
      </c>
      <c r="S9" s="3" t="str">
        <f aca="false">LEFT($B$9,1)&amp;"70"&amp;"+"&amp;LEFT($C$9,1)&amp;"62"</f>
        <v>O70+Y62</v>
      </c>
      <c r="T9" s="3" t="str">
        <f aca="false">LEFT($B$9,1)&amp;"70"&amp;"+"&amp;LEFT($C$9,1)&amp;"S"</f>
        <v>O70+YS</v>
      </c>
      <c r="U9" s="4" t="str">
        <f aca="false">LEFT($B$9,1)&amp;"FRA"&amp;"+"&amp;LEFT($C$9,1)&amp;"70"</f>
        <v>OFRA+Y70</v>
      </c>
      <c r="V9" s="4" t="str">
        <f aca="false">LEFT($B$9,1)&amp;"FRA"&amp;"+"&amp;LEFT($C$9,1)&amp;"FRA"</f>
        <v>OFRA+YFRA</v>
      </c>
      <c r="W9" s="4" t="str">
        <f aca="false">LEFT($B$9,1)&amp;"FRA"&amp;"+"&amp;LEFT($C$9,1)&amp;"62"</f>
        <v>OFRA+Y62</v>
      </c>
      <c r="X9" s="4" t="str">
        <f aca="false">LEFT($B$9,1)&amp;"FRA"&amp;"+"&amp;LEFT($C$9,1)&amp;"S"</f>
        <v>OFRA+YS</v>
      </c>
      <c r="Y9" s="5" t="str">
        <f aca="false">LEFT($B$9,1)&amp;"62"&amp;"+"&amp;LEFT($C$9,1)&amp;"70"</f>
        <v>O62+Y70</v>
      </c>
      <c r="Z9" s="5" t="str">
        <f aca="false">LEFT($B$9,1)&amp;"62"&amp;"+"&amp;LEFT($C$9,1)&amp;"FRA"</f>
        <v>O62+YFRA</v>
      </c>
      <c r="AA9" s="5" t="str">
        <f aca="false">LEFT($B$9,1)&amp;"62"&amp;"+"&amp;LEFT($C$9,1)&amp;"62"</f>
        <v>O62+Y62</v>
      </c>
      <c r="AB9" s="5" t="str">
        <f aca="false">LEFT($B$9,1)&amp;"62"&amp;"+"&amp;LEFT($C$9,1)&amp;"S"</f>
        <v>O62+YS</v>
      </c>
    </row>
    <row r="10" customFormat="false" ht="15" hidden="false" customHeight="false" outlineLevel="0" collapsed="false">
      <c r="A10" s="2" t="n">
        <f aca="true">TODAY()+(62-MAX($G$2,$G$4))*365.25</f>
        <v>43498.5</v>
      </c>
      <c r="B10" s="0" t="n">
        <v>62</v>
      </c>
      <c r="C10" s="0" t="n">
        <f aca="true">(A10-TODAY())/365.25+MIN($G$2,$G$4)</f>
        <v>52.0862422997947</v>
      </c>
      <c r="D10" s="0" t="s">
        <v>18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f aca="false">IF($C10&gt;=70.083,IF(L9=0,IF(DAY(MAX($G$1,$G$3))=1,12,11)*HLOOKUP(VLOOKUP($L$8,$J$1:$K$2,2,0),$B$1:$C$4,3,0),L9+12*HLOOKUP(VLOOKUP($L$8,$J$1:$K$2,2,0),$B$1:$C$4,3,0)),0)</f>
        <v>0</v>
      </c>
      <c r="M10" s="6" t="n">
        <f aca="false">IF($C10&gt;=(66+1/3),IF(M9=0,IF(DAY(MAX($G$1,$G$3))=1,12,11)*HLOOKUP(VLOOKUP($L$8,$J$1:$K$2,2,0),$B$1:$C$4,2,0),M9+12*HLOOKUP(VLOOKUP($L$8,$J$1:$K$2,2,0),$B$1:$C$4,2,0)),0)</f>
        <v>0</v>
      </c>
      <c r="N10" s="6" t="n">
        <f aca="false">IF($C10&gt;=62.083,IF(N9=0,IF(DAY(MAX($G$1,$G$3))=1,12,11)*HLOOKUP(VLOOKUP($L$8,$J$1:$K$2,2,0),$B$1:$C$4,4,0),N9+12*HLOOKUP(VLOOKUP($L$8,$J$1:$K$2,2,0),$B$1:$C$4,4,0)),0)</f>
        <v>0</v>
      </c>
      <c r="O10" s="6" t="n">
        <v>0</v>
      </c>
      <c r="P10" s="6" t="n">
        <v>0</v>
      </c>
      <c r="Q10" s="6"/>
      <c r="R10" s="6"/>
    </row>
    <row r="11" customFormat="false" ht="15" hidden="false" customHeight="false" outlineLevel="0" collapsed="false">
      <c r="A11" s="2" t="n">
        <f aca="false">A10+365.25</f>
        <v>43863.75</v>
      </c>
      <c r="B11" s="0" t="n">
        <f aca="false">B10+1</f>
        <v>63</v>
      </c>
      <c r="C11" s="0" t="n">
        <f aca="false">C10+1</f>
        <v>53.0862422997947</v>
      </c>
      <c r="D11" s="0" t="n">
        <f aca="false">IF(AND(R11&gt;Q11,R11&gt;O11),62,IF(Q11&gt;O11,"FRA",70))</f>
        <v>70</v>
      </c>
      <c r="G11" s="6" t="n">
        <v>0</v>
      </c>
      <c r="H11" s="6" t="n">
        <v>0</v>
      </c>
      <c r="I11" s="6" t="n">
        <f aca="false">IF(DAY(MIN($G$1,$G$3))=1,12,11)*HLOOKUP(VLOOKUP($G$8,$J$1:$K$2,2,0),$B$1:$C$4,4,0)</f>
        <v>13200</v>
      </c>
      <c r="J11" s="6" t="n">
        <f aca="false">IF(DAY(MIN($G$1,$G$3))=1,12,11)*0.325*HLOOKUP(VLOOKUP($L$8,$J$1:$K$2,2,0),$B$1:$C$4,2,0)</f>
        <v>9295</v>
      </c>
      <c r="K11" s="6" t="n">
        <v>0</v>
      </c>
      <c r="L11" s="6" t="n">
        <f aca="false">IF($C11&gt;=70.083,IF(L10=0,IF(DAY(MAX($G$1,$G$3))=1,12,11)*HLOOKUP(VLOOKUP($L$8,$J$1:$K$2,2,0),$B$1:$C$4,3,0),L10+12*HLOOKUP(VLOOKUP($L$8,$J$1:$K$2,2,0),$B$1:$C$4,3,0)),0)</f>
        <v>0</v>
      </c>
      <c r="M11" s="6" t="n">
        <f aca="false">IF($C11&gt;=(66+1/3),IF(M10=0,IF(DAY(MAX($G$1,$G$3))=1,12,11)*HLOOKUP(VLOOKUP($L$8,$J$1:$K$2,2,0),$B$1:$C$4,2,0),M10+12*HLOOKUP(VLOOKUP($L$8,$J$1:$K$2,2,0),$B$1:$C$4,2,0)),0)</f>
        <v>0</v>
      </c>
      <c r="N11" s="6" t="n">
        <f aca="false">IF($C11&gt;=62.083,IF(N10=0,IF(DAY(MAX($G$1,$G$3))=1,12,11)*HLOOKUP(VLOOKUP($L$8,$J$1:$K$2,2,0),$B$1:$C$4,4,0),N10+12*HLOOKUP(VLOOKUP($L$8,$J$1:$K$2,2,0),$B$1:$C$4,4,0)),0)</f>
        <v>0</v>
      </c>
      <c r="O11" s="6" t="n">
        <f aca="false">IF($C11&gt;=62.083,IF(O10=0,IF(DAY(MAX($G$1,$G$3))=1,12,11)*0.325*HLOOKUP(VLOOKUP($G$8,$J$1:$K$2,2,0),$B$1:$C$4,2,0),O10+12*0.325*HLOOKUP(VLOOKUP($G$8,$J$1:$K$2,2,0),$B$1:$C$4,2,0)),0)</f>
        <v>0</v>
      </c>
      <c r="P11" s="6" t="n">
        <f aca="false">IF($C11&gt;=(66+1/3),IF(P10=0,IF(DAY(MAX($G$1,$G$3))=1,12,11)*0.5*HLOOKUP(VLOOKUP($G$8,$J$1:$K$2,2,0),$B$1:$C$4,2,0),P10+12*0.5*HLOOKUP(VLOOKUP($G$8,$J$1:$K$2,2,0),$B$1:$C$4,2,0)),0)</f>
        <v>0</v>
      </c>
      <c r="Q11" s="6"/>
      <c r="R11" s="6"/>
    </row>
    <row r="12" customFormat="false" ht="15" hidden="false" customHeight="false" outlineLevel="0" collapsed="false">
      <c r="A12" s="2" t="n">
        <f aca="false">A11+365.25</f>
        <v>44229</v>
      </c>
      <c r="B12" s="0" t="n">
        <f aca="false">B11+1</f>
        <v>64</v>
      </c>
      <c r="C12" s="0" t="n">
        <f aca="false">C11+1</f>
        <v>54.0862422997947</v>
      </c>
      <c r="D12" s="0" t="n">
        <f aca="false">IF(AND(R12&gt;Q12,R12&gt;O12),62,IF(Q12&gt;O12,"FRA",70))</f>
        <v>70</v>
      </c>
      <c r="G12" s="6" t="n">
        <v>0</v>
      </c>
      <c r="H12" s="6" t="n">
        <v>0</v>
      </c>
      <c r="I12" s="6" t="n">
        <f aca="false">I11+HLOOKUP(VLOOKUP($G$8,$J$1:$K$2,2,0),$B$1:$C$4,4,0)*12</f>
        <v>27600</v>
      </c>
      <c r="J12" s="6" t="n">
        <f aca="false">J11+12*0.325*HLOOKUP(VLOOKUP($L$8,$J$1:$K$2,2,0),$B$1:$C$4,2,0)</f>
        <v>19435</v>
      </c>
      <c r="K12" s="6" t="n">
        <v>0</v>
      </c>
      <c r="L12" s="6" t="n">
        <f aca="false">IF($C12&gt;=70.083,IF(L11=0,IF(DAY(MAX($G$1,$G$3))=1,12,11)*HLOOKUP(VLOOKUP($L$8,$J$1:$K$2,2,0),$B$1:$C$4,3,0),L11+12*HLOOKUP(VLOOKUP($L$8,$J$1:$K$2,2,0),$B$1:$C$4,3,0)),0)</f>
        <v>0</v>
      </c>
      <c r="M12" s="6" t="n">
        <f aca="false">IF($C12&gt;=(66+1/3),IF(M11=0,IF(DAY(MAX($G$1,$G$3))=1,12,11)*HLOOKUP(VLOOKUP($L$8,$J$1:$K$2,2,0),$B$1:$C$4,2,0),M11+12*HLOOKUP(VLOOKUP($L$8,$J$1:$K$2,2,0),$B$1:$C$4,2,0)),0)</f>
        <v>0</v>
      </c>
      <c r="N12" s="6" t="n">
        <f aca="false">IF($C12&gt;=62.083,IF(N11=0,IF(DAY(MAX($G$1,$G$3))=1,12,11)*HLOOKUP(VLOOKUP($L$8,$J$1:$K$2,2,0),$B$1:$C$4,4,0),N11+12*HLOOKUP(VLOOKUP($L$8,$J$1:$K$2,2,0),$B$1:$C$4,4,0)),0)</f>
        <v>0</v>
      </c>
      <c r="O12" s="6" t="n">
        <f aca="false">IF($C12&gt;=62.083,IF(O11=0,IF(DAY(MAX($G$1,$G$3))=1,12,11)*0.325*HLOOKUP(VLOOKUP($G$8,$J$1:$K$2,2,0),$B$1:$C$4,2,0),O11+12*0.325*HLOOKUP(VLOOKUP($G$8,$J$1:$K$2,2,0),$B$1:$C$4,2,0)),0)</f>
        <v>0</v>
      </c>
      <c r="P12" s="6" t="n">
        <f aca="false">IF($C12&gt;=(66+1/3),IF(P11=0,IF(DAY(MAX($G$1,$G$3))=1,12,11)*0.5*HLOOKUP(VLOOKUP($G$8,$J$1:$K$2,2,0),$B$1:$C$4,2,0),P11+12*0.5*HLOOKUP(VLOOKUP($G$8,$J$1:$K$2,2,0),$B$1:$C$4,2,0)),0)</f>
        <v>0</v>
      </c>
      <c r="Q12" s="6"/>
      <c r="R12" s="6"/>
    </row>
    <row r="13" customFormat="false" ht="15" hidden="false" customHeight="false" outlineLevel="0" collapsed="false">
      <c r="A13" s="2" t="n">
        <f aca="false">A12+365.25</f>
        <v>44594.25</v>
      </c>
      <c r="B13" s="0" t="n">
        <f aca="false">B12+1</f>
        <v>65</v>
      </c>
      <c r="C13" s="0" t="n">
        <f aca="false">C12+1</f>
        <v>55.0862422997947</v>
      </c>
      <c r="D13" s="0" t="n">
        <f aca="false">IF(AND(R13&gt;Q13,R13&gt;O13),62,IF(Q13&gt;O13,"FRA",70))</f>
        <v>70</v>
      </c>
      <c r="G13" s="6" t="n">
        <v>0</v>
      </c>
      <c r="H13" s="6" t="n">
        <v>0</v>
      </c>
      <c r="I13" s="6" t="n">
        <f aca="false">I12+HLOOKUP(VLOOKUP($G$8,$J$1:$K$2,2,0),$B$1:$C$4,4,0)*12</f>
        <v>42000</v>
      </c>
      <c r="J13" s="6" t="n">
        <f aca="false">J12+12*0.325*HLOOKUP(VLOOKUP($L$8,$J$1:$K$2,2,0),$B$1:$C$4,2,0)</f>
        <v>29575</v>
      </c>
      <c r="K13" s="6" t="n">
        <v>0</v>
      </c>
      <c r="L13" s="6" t="n">
        <f aca="false">IF($C13&gt;=70.083,IF(L12=0,IF(DAY(MAX($G$1,$G$3))=1,12,11)*HLOOKUP(VLOOKUP($L$8,$J$1:$K$2,2,0),$B$1:$C$4,3,0),L12+12*HLOOKUP(VLOOKUP($L$8,$J$1:$K$2,2,0),$B$1:$C$4,3,0)),0)</f>
        <v>0</v>
      </c>
      <c r="M13" s="6" t="n">
        <f aca="false">IF($C13&gt;=(66+1/3),IF(M12=0,IF(DAY(MAX($G$1,$G$3))=1,12,11)*HLOOKUP(VLOOKUP($L$8,$J$1:$K$2,2,0),$B$1:$C$4,2,0),M12+12*HLOOKUP(VLOOKUP($L$8,$J$1:$K$2,2,0),$B$1:$C$4,2,0)),0)</f>
        <v>0</v>
      </c>
      <c r="N13" s="6" t="n">
        <f aca="false">IF($C13&gt;=62.083,IF(N12=0,IF(DAY(MAX($G$1,$G$3))=1,12,11)*HLOOKUP(VLOOKUP($L$8,$J$1:$K$2,2,0),$B$1:$C$4,4,0),N12+12*HLOOKUP(VLOOKUP($L$8,$J$1:$K$2,2,0),$B$1:$C$4,4,0)),0)</f>
        <v>0</v>
      </c>
      <c r="O13" s="6" t="n">
        <f aca="false">IF($C13&gt;=62.083,IF(O12=0,IF(DAY(MAX($G$1,$G$3))=1,12,11)*0.325*HLOOKUP(VLOOKUP($G$8,$J$1:$K$2,2,0),$B$1:$C$4,2,0),O12+12*0.325*HLOOKUP(VLOOKUP($G$8,$J$1:$K$2,2,0),$B$1:$C$4,2,0)),0)</f>
        <v>0</v>
      </c>
      <c r="P13" s="6" t="n">
        <f aca="false">IF($C13&gt;=(66+1/3),IF(P12=0,IF(DAY(MAX($G$1,$G$3))=1,12,11)*0.5*HLOOKUP(VLOOKUP($G$8,$J$1:$K$2,2,0),$B$1:$C$4,2,0),P12+12*0.5*HLOOKUP(VLOOKUP($G$8,$J$1:$K$2,2,0),$B$1:$C$4,2,0)),0)</f>
        <v>0</v>
      </c>
      <c r="Q13" s="6"/>
      <c r="R13" s="6"/>
    </row>
    <row r="14" customFormat="false" ht="15" hidden="false" customHeight="false" outlineLevel="0" collapsed="false">
      <c r="A14" s="2" t="n">
        <f aca="false">A13+365.25</f>
        <v>44959.5</v>
      </c>
      <c r="B14" s="0" t="n">
        <f aca="false">B13+1</f>
        <v>66</v>
      </c>
      <c r="C14" s="0" t="n">
        <f aca="false">C13+1</f>
        <v>56.0862422997947</v>
      </c>
      <c r="D14" s="0" t="n">
        <f aca="false">IF(AND(R14&gt;Q14,R14&gt;O14),62,IF(Q14&gt;O14,"FRA",70))</f>
        <v>70</v>
      </c>
      <c r="G14" s="6" t="n">
        <v>0</v>
      </c>
      <c r="H14" s="6" t="n">
        <v>0</v>
      </c>
      <c r="I14" s="6" t="n">
        <f aca="false">I13+HLOOKUP(VLOOKUP($G$8,$J$1:$K$2,2,0),$B$1:$C$4,4,0)*12</f>
        <v>56400</v>
      </c>
      <c r="J14" s="6" t="n">
        <f aca="false">J13+12*0.325*HLOOKUP(VLOOKUP($L$8,$J$1:$K$2,2,0),$B$1:$C$4,2,0)</f>
        <v>39715</v>
      </c>
      <c r="K14" s="6" t="n">
        <f aca="false">IF(DAY(MIN($G$1,$G$3))=1,12,11)*0.5*HLOOKUP(VLOOKUP($L$8,$J$1:$K$2,2,0),$B$1:$C$4,2,0)</f>
        <v>14300</v>
      </c>
      <c r="L14" s="6" t="n">
        <f aca="false">IF($C14&gt;=70.083,IF(L13=0,IF(DAY(MAX($G$1,$G$3))=1,12,11)*HLOOKUP(VLOOKUP($L$8,$J$1:$K$2,2,0),$B$1:$C$4,3,0),L13+12*HLOOKUP(VLOOKUP($L$8,$J$1:$K$2,2,0),$B$1:$C$4,3,0)),0)</f>
        <v>0</v>
      </c>
      <c r="M14" s="6" t="n">
        <f aca="false">IF($C14&gt;=(66+1/3),IF(M13=0,IF(DAY(MAX($G$1,$G$3))=1,12,11)*HLOOKUP(VLOOKUP($L$8,$J$1:$K$2,2,0),$B$1:$C$4,2,0),M13+12*HLOOKUP(VLOOKUP($L$8,$J$1:$K$2,2,0),$B$1:$C$4,2,0)),0)</f>
        <v>0</v>
      </c>
      <c r="N14" s="6" t="n">
        <f aca="false">IF($C14&gt;=62.083,IF(N13=0,IF(DAY(MAX($G$1,$G$3))=1,12,11)*HLOOKUP(VLOOKUP($L$8,$J$1:$K$2,2,0),$B$1:$C$4,4,0),N13+12*HLOOKUP(VLOOKUP($L$8,$J$1:$K$2,2,0),$B$1:$C$4,4,0)),0)</f>
        <v>0</v>
      </c>
      <c r="O14" s="6" t="n">
        <f aca="false">IF($C14&gt;=62.083,IF(O13=0,IF(DAY(MAX($G$1,$G$3))=1,12,11)*0.325*HLOOKUP(VLOOKUP($G$8,$J$1:$K$2,2,0),$B$1:$C$4,2,0),O13+12*0.325*HLOOKUP(VLOOKUP($G$8,$J$1:$K$2,2,0),$B$1:$C$4,2,0)),0)</f>
        <v>0</v>
      </c>
      <c r="P14" s="6" t="n">
        <f aca="false">IF($C14&gt;=(66+1/3),IF(P13=0,IF(DAY(MAX($G$1,$G$3))=1,12,11)*0.5*HLOOKUP(VLOOKUP($G$8,$J$1:$K$2,2,0),$B$1:$C$4,2,0),P13+12*0.5*HLOOKUP(VLOOKUP($G$8,$J$1:$K$2,2,0),$B$1:$C$4,2,0)),0)</f>
        <v>0</v>
      </c>
      <c r="Q14" s="6"/>
      <c r="R14" s="6"/>
    </row>
    <row r="15" customFormat="false" ht="15" hidden="false" customHeight="false" outlineLevel="0" collapsed="false">
      <c r="A15" s="2" t="n">
        <f aca="false">A14+365.25</f>
        <v>45324.75</v>
      </c>
      <c r="B15" s="0" t="n">
        <f aca="false">B14+1</f>
        <v>67</v>
      </c>
      <c r="C15" s="0" t="n">
        <f aca="false">C14+1</f>
        <v>57.0862422997947</v>
      </c>
      <c r="D15" s="0" t="n">
        <f aca="false">IF(AND(R15&gt;Q15,R15&gt;O15),62,IF(Q15&gt;O15,"FRA",70))</f>
        <v>70</v>
      </c>
      <c r="G15" s="6" t="n">
        <v>0</v>
      </c>
      <c r="H15" s="6" t="n">
        <f aca="false">IF(DAY(MIN($G$1,$G$3))=1,8,7)*HLOOKUP(VLOOKUP($G$8,$J$1:$K$2,2,0),$B$1:$C$4,2,0)</f>
        <v>14700</v>
      </c>
      <c r="I15" s="6" t="n">
        <f aca="false">I14+HLOOKUP(VLOOKUP($G$8,$J$1:$K$2,2,0),$B$1:$C$4,4,0)*12</f>
        <v>70800</v>
      </c>
      <c r="J15" s="6" t="n">
        <f aca="false">J14+12*0.325*HLOOKUP(VLOOKUP($L$8,$J$1:$K$2,2,0),$B$1:$C$4,2,0)</f>
        <v>49855</v>
      </c>
      <c r="K15" s="6" t="n">
        <f aca="false">K14+12*0.5*HLOOKUP(VLOOKUP($L$8,$J$1:$K$2,2,0),$B$1:$C$4,2,0)</f>
        <v>29900</v>
      </c>
      <c r="L15" s="6" t="n">
        <f aca="false">IF($C15&gt;=70.083,IF(L14=0,IF(DAY(MAX($G$1,$G$3))=1,12,11)*HLOOKUP(VLOOKUP($L$8,$J$1:$K$2,2,0),$B$1:$C$4,3,0),L14+12*HLOOKUP(VLOOKUP($L$8,$J$1:$K$2,2,0),$B$1:$C$4,3,0)),0)</f>
        <v>0</v>
      </c>
      <c r="M15" s="6" t="n">
        <f aca="false">IF($C15&gt;=(66+1/3),IF(M14=0,IF(DAY(MAX($G$1,$G$3))=1,12,11)*HLOOKUP(VLOOKUP($L$8,$J$1:$K$2,2,0),$B$1:$C$4,2,0),M14+12*HLOOKUP(VLOOKUP($L$8,$J$1:$K$2,2,0),$B$1:$C$4,2,0)),0)</f>
        <v>0</v>
      </c>
      <c r="N15" s="6" t="n">
        <f aca="false">IF($C15&gt;=62.083,IF(N14=0,IF(DAY(MAX($G$1,$G$3))=1,12,11)*HLOOKUP(VLOOKUP($L$8,$J$1:$K$2,2,0),$B$1:$C$4,4,0),N14+12*HLOOKUP(VLOOKUP($L$8,$J$1:$K$2,2,0),$B$1:$C$4,4,0)),0)</f>
        <v>0</v>
      </c>
      <c r="O15" s="6" t="n">
        <f aca="false">IF($C15&gt;=62.083,IF(O14=0,IF(DAY(MAX($G$1,$G$3))=1,12,11)*0.325*HLOOKUP(VLOOKUP($G$8,$J$1:$K$2,2,0),$B$1:$C$4,2,0),O14+12*0.325*HLOOKUP(VLOOKUP($G$8,$J$1:$K$2,2,0),$B$1:$C$4,2,0)),0)</f>
        <v>0</v>
      </c>
      <c r="P15" s="6" t="n">
        <f aca="false">IF($C15&gt;=(66+1/3),IF(P14=0,IF(DAY(MAX($G$1,$G$3))=1,12,11)*0.5*HLOOKUP(VLOOKUP($G$8,$J$1:$K$2,2,0),$B$1:$C$4,2,0),P14+12*0.5*HLOOKUP(VLOOKUP($G$8,$J$1:$K$2,2,0),$B$1:$C$4,2,0)),0)</f>
        <v>0</v>
      </c>
      <c r="Q15" s="6"/>
      <c r="R15" s="6"/>
    </row>
    <row r="16" customFormat="false" ht="15" hidden="false" customHeight="false" outlineLevel="0" collapsed="false">
      <c r="A16" s="2" t="n">
        <f aca="false">A15+365.25</f>
        <v>45690</v>
      </c>
      <c r="B16" s="0" t="n">
        <f aca="false">B15+1</f>
        <v>68</v>
      </c>
      <c r="C16" s="0" t="n">
        <f aca="false">C15+1</f>
        <v>58.0862422997947</v>
      </c>
      <c r="D16" s="0" t="n">
        <f aca="false">IF(AND(R16&gt;Q16,R16&gt;O16),62,IF(Q16&gt;O16,"FRA",70))</f>
        <v>70</v>
      </c>
      <c r="G16" s="6" t="n">
        <v>0</v>
      </c>
      <c r="H16" s="6" t="n">
        <f aca="false">H15+HLOOKUP(VLOOKUP($G$8,$J$1:$K$2,2,0),$B$1:$C$4,2,0)*12</f>
        <v>39900</v>
      </c>
      <c r="I16" s="6" t="n">
        <f aca="false">I15+HLOOKUP(VLOOKUP($G$8,$J$1:$K$2,2,0),$B$1:$C$4,4,0)*12</f>
        <v>85200</v>
      </c>
      <c r="J16" s="6" t="n">
        <f aca="false">J15+12*0.325*HLOOKUP(VLOOKUP($L$8,$J$1:$K$2,2,0),$B$1:$C$4,2,0)</f>
        <v>59995</v>
      </c>
      <c r="K16" s="6" t="n">
        <f aca="false">K15+12*0.5*HLOOKUP(VLOOKUP($L$8,$J$1:$K$2,2,0),$B$1:$C$4,2,0)</f>
        <v>45500</v>
      </c>
      <c r="L16" s="6" t="n">
        <f aca="false">IF($C16&gt;=70.083,IF(L15=0,IF(DAY(MAX($G$1,$G$3))=1,12,11)*HLOOKUP(VLOOKUP($L$8,$J$1:$K$2,2,0),$B$1:$C$4,3,0),L15+12*HLOOKUP(VLOOKUP($L$8,$J$1:$K$2,2,0),$B$1:$C$4,3,0)),0)</f>
        <v>0</v>
      </c>
      <c r="M16" s="6" t="n">
        <f aca="false">IF($C16&gt;=(66+1/3),IF(M15=0,IF(DAY(MAX($G$1,$G$3))=1,12,11)*HLOOKUP(VLOOKUP($L$8,$J$1:$K$2,2,0),$B$1:$C$4,2,0),M15+12*HLOOKUP(VLOOKUP($L$8,$J$1:$K$2,2,0),$B$1:$C$4,2,0)),0)</f>
        <v>0</v>
      </c>
      <c r="N16" s="6" t="n">
        <f aca="false">IF($C16&gt;=62.083,IF(N15=0,IF(DAY(MAX($G$1,$G$3))=1,12,11)*HLOOKUP(VLOOKUP($L$8,$J$1:$K$2,2,0),$B$1:$C$4,4,0),N15+12*HLOOKUP(VLOOKUP($L$8,$J$1:$K$2,2,0),$B$1:$C$4,4,0)),0)</f>
        <v>0</v>
      </c>
      <c r="O16" s="6" t="n">
        <f aca="false">IF($C16&gt;=62.083,IF(O15=0,IF(DAY(MAX($G$1,$G$3))=1,12,11)*0.325*HLOOKUP(VLOOKUP($G$8,$J$1:$K$2,2,0),$B$1:$C$4,2,0),O15+12*0.325*HLOOKUP(VLOOKUP($G$8,$J$1:$K$2,2,0),$B$1:$C$4,2,0)),0)</f>
        <v>0</v>
      </c>
      <c r="P16" s="6" t="n">
        <f aca="false">IF($C16&gt;=(66+1/3),IF(P15=0,IF(DAY(MAX($G$1,$G$3))=1,12,11)*0.5*HLOOKUP(VLOOKUP($G$8,$J$1:$K$2,2,0),$B$1:$C$4,2,0),P15+12*0.5*HLOOKUP(VLOOKUP($G$8,$J$1:$K$2,2,0),$B$1:$C$4,2,0)),0)</f>
        <v>0</v>
      </c>
      <c r="Q16" s="6"/>
      <c r="R16" s="6"/>
    </row>
    <row r="17" customFormat="false" ht="15" hidden="false" customHeight="false" outlineLevel="0" collapsed="false">
      <c r="A17" s="2" t="n">
        <f aca="false">A16+365.25</f>
        <v>46055.25</v>
      </c>
      <c r="B17" s="0" t="n">
        <f aca="false">B16+1</f>
        <v>69</v>
      </c>
      <c r="C17" s="0" t="n">
        <f aca="false">C16+1</f>
        <v>59.0862422997947</v>
      </c>
      <c r="D17" s="0" t="n">
        <f aca="false">IF(AND(R17&gt;Q17,R17&gt;O17),62,IF(Q17&gt;O17,"FRA",70))</f>
        <v>70</v>
      </c>
      <c r="G17" s="6" t="n">
        <v>0</v>
      </c>
      <c r="H17" s="6" t="n">
        <f aca="false">H16+HLOOKUP(VLOOKUP($G$8,$J$1:$K$2,2,0),$B$1:$C$4,2,0)*12</f>
        <v>65100</v>
      </c>
      <c r="I17" s="6" t="n">
        <f aca="false">I16+HLOOKUP(VLOOKUP($G$8,$J$1:$K$2,2,0),$B$1:$C$4,4,0)*12</f>
        <v>99600</v>
      </c>
      <c r="J17" s="6" t="n">
        <f aca="false">J16+12*0.325*HLOOKUP(VLOOKUP($L$8,$J$1:$K$2,2,0),$B$1:$C$4,2,0)</f>
        <v>70135</v>
      </c>
      <c r="K17" s="6" t="n">
        <f aca="false">K16+12*0.5*HLOOKUP(VLOOKUP($L$8,$J$1:$K$2,2,0),$B$1:$C$4,2,0)</f>
        <v>61100</v>
      </c>
      <c r="L17" s="6" t="n">
        <f aca="false">IF($C17&gt;=70.083,IF(L16=0,IF(DAY(MAX($G$1,$G$3))=1,12,11)*HLOOKUP(VLOOKUP($L$8,$J$1:$K$2,2,0),$B$1:$C$4,3,0),L16+12*HLOOKUP(VLOOKUP($L$8,$J$1:$K$2,2,0),$B$1:$C$4,3,0)),0)</f>
        <v>0</v>
      </c>
      <c r="M17" s="6" t="n">
        <f aca="false">IF($C17&gt;=(66+1/3),IF(M16=0,IF(DAY(MAX($G$1,$G$3))=1,12,11)*HLOOKUP(VLOOKUP($L$8,$J$1:$K$2,2,0),$B$1:$C$4,2,0),M16+12*HLOOKUP(VLOOKUP($L$8,$J$1:$K$2,2,0),$B$1:$C$4,2,0)),0)</f>
        <v>0</v>
      </c>
      <c r="N17" s="6" t="n">
        <f aca="false">IF($C17&gt;=62.083,IF(N16=0,IF(DAY(MAX($G$1,$G$3))=1,12,11)*HLOOKUP(VLOOKUP($L$8,$J$1:$K$2,2,0),$B$1:$C$4,4,0),N16+12*HLOOKUP(VLOOKUP($L$8,$J$1:$K$2,2,0),$B$1:$C$4,4,0)),0)</f>
        <v>0</v>
      </c>
      <c r="O17" s="6" t="n">
        <f aca="false">IF($C17&gt;=62.083,IF(O16=0,IF(DAY(MAX($G$1,$G$3))=1,12,11)*0.325*HLOOKUP(VLOOKUP($G$8,$J$1:$K$2,2,0),$B$1:$C$4,2,0),O16+12*0.325*HLOOKUP(VLOOKUP($G$8,$J$1:$K$2,2,0),$B$1:$C$4,2,0)),0)</f>
        <v>0</v>
      </c>
      <c r="P17" s="6" t="n">
        <f aca="false">IF($C17&gt;=(66+1/3),IF(P16=0,IF(DAY(MAX($G$1,$G$3))=1,12,11)*0.5*HLOOKUP(VLOOKUP($G$8,$J$1:$K$2,2,0),$B$1:$C$4,2,0),P16+12*0.5*HLOOKUP(VLOOKUP($G$8,$J$1:$K$2,2,0),$B$1:$C$4,2,0)),0)</f>
        <v>0</v>
      </c>
      <c r="Q17" s="6"/>
      <c r="R17" s="6"/>
    </row>
    <row r="18" customFormat="false" ht="15" hidden="false" customHeight="false" outlineLevel="0" collapsed="false">
      <c r="A18" s="2" t="n">
        <f aca="false">A17+365.25</f>
        <v>46420.5</v>
      </c>
      <c r="B18" s="0" t="n">
        <f aca="false">B17+1</f>
        <v>70</v>
      </c>
      <c r="C18" s="0" t="n">
        <f aca="false">C17+1</f>
        <v>60.0862422997947</v>
      </c>
      <c r="D18" s="0" t="n">
        <f aca="false">IF(AND(R18&gt;Q18,R18&gt;O18),62,IF(Q18&gt;O18,"FRA",70))</f>
        <v>70</v>
      </c>
      <c r="G18" s="6" t="n">
        <v>0</v>
      </c>
      <c r="H18" s="6" t="n">
        <f aca="false">H17+HLOOKUP(VLOOKUP($G$8,$J$1:$K$2,2,0),$B$1:$C$4,2,0)*12</f>
        <v>90300</v>
      </c>
      <c r="I18" s="6" t="n">
        <f aca="false">I17+HLOOKUP(VLOOKUP($G$8,$J$1:$K$2,2,0),$B$1:$C$4,4,0)*12</f>
        <v>114000</v>
      </c>
      <c r="J18" s="6" t="n">
        <f aca="false">J17+12*0.325*HLOOKUP(VLOOKUP($L$8,$J$1:$K$2,2,0),$B$1:$C$4,2,0)</f>
        <v>80275</v>
      </c>
      <c r="K18" s="6" t="n">
        <f aca="false">K17+12*0.5*HLOOKUP(VLOOKUP($L$8,$J$1:$K$2,2,0),$B$1:$C$4,2,0)</f>
        <v>76700</v>
      </c>
      <c r="L18" s="6" t="n">
        <f aca="false">IF($C18&gt;=70.083,IF(L17=0,IF(DAY(MAX($G$1,$G$3))=1,12,11)*HLOOKUP(VLOOKUP($L$8,$J$1:$K$2,2,0),$B$1:$C$4,3,0),L17+12*HLOOKUP(VLOOKUP($L$8,$J$1:$K$2,2,0),$B$1:$C$4,3,0)),0)</f>
        <v>0</v>
      </c>
      <c r="M18" s="6" t="n">
        <f aca="false">IF($C18&gt;=(66+1/3),IF(M17=0,IF(DAY(MAX($G$1,$G$3))=1,12,11)*HLOOKUP(VLOOKUP($L$8,$J$1:$K$2,2,0),$B$1:$C$4,2,0),M17+12*HLOOKUP(VLOOKUP($L$8,$J$1:$K$2,2,0),$B$1:$C$4,2,0)),0)</f>
        <v>0</v>
      </c>
      <c r="N18" s="6" t="n">
        <f aca="false">IF($C18&gt;=62.083,IF(N17=0,IF(DAY(MAX($G$1,$G$3))=1,12,11)*HLOOKUP(VLOOKUP($L$8,$J$1:$K$2,2,0),$B$1:$C$4,4,0),N17+12*HLOOKUP(VLOOKUP($L$8,$J$1:$K$2,2,0),$B$1:$C$4,4,0)),0)</f>
        <v>0</v>
      </c>
      <c r="O18" s="6" t="n">
        <f aca="false">IF($C18&gt;=62.083,IF(O17=0,IF(DAY(MAX($G$1,$G$3))=1,12,11)*0.325*HLOOKUP(VLOOKUP($G$8,$J$1:$K$2,2,0),$B$1:$C$4,2,0),O17+12*0.325*HLOOKUP(VLOOKUP($G$8,$J$1:$K$2,2,0),$B$1:$C$4,2,0)),0)</f>
        <v>0</v>
      </c>
      <c r="P18" s="6" t="n">
        <f aca="false">IF($C18&gt;=(66+1/3),IF(P17=0,IF(DAY(MAX($G$1,$G$3))=1,12,11)*0.5*HLOOKUP(VLOOKUP($G$8,$J$1:$K$2,2,0),$B$1:$C$4,2,0),P17+12*0.5*HLOOKUP(VLOOKUP($G$8,$J$1:$K$2,2,0),$B$1:$C$4,2,0)),0)</f>
        <v>0</v>
      </c>
      <c r="Q18" s="6"/>
      <c r="R18" s="6"/>
    </row>
    <row r="19" customFormat="false" ht="15" hidden="false" customHeight="false" outlineLevel="0" collapsed="false">
      <c r="A19" s="2" t="n">
        <f aca="false">A18+365.25</f>
        <v>46785.75</v>
      </c>
      <c r="B19" s="0" t="n">
        <f aca="false">B18+1</f>
        <v>71</v>
      </c>
      <c r="C19" s="0" t="n">
        <f aca="false">C18+1</f>
        <v>61.0862422997947</v>
      </c>
      <c r="D19" s="0" t="n">
        <f aca="false">IF(AND(R19&gt;Q19,R19&gt;O19),62,IF(Q19&gt;O19,"FRA",70))</f>
        <v>70</v>
      </c>
      <c r="G19" s="6" t="n">
        <f aca="false">IF(DAY(MIN($G$1,$G$3))=1,12,11)*HLOOKUP(VLOOKUP($G$8,$J$1:$K$2,2,0),$B$1:$C$4,3,0)</f>
        <v>27500</v>
      </c>
      <c r="H19" s="6" t="n">
        <f aca="false">H18+HLOOKUP(VLOOKUP($G$8,$J$1:$K$2,2,0),$B$1:$C$4,2,0)*12</f>
        <v>115500</v>
      </c>
      <c r="I19" s="6" t="n">
        <f aca="false">I18+HLOOKUP(VLOOKUP($G$8,$J$1:$K$2,2,0),$B$1:$C$4,4,0)*12</f>
        <v>128400</v>
      </c>
      <c r="J19" s="6" t="n">
        <f aca="false">J18+12*0.325*HLOOKUP(VLOOKUP($L$8,$J$1:$K$2,2,0),$B$1:$C$4,2,0)</f>
        <v>90415</v>
      </c>
      <c r="K19" s="6" t="n">
        <f aca="false">K18+12*0.5*HLOOKUP(VLOOKUP($L$8,$J$1:$K$2,2,0),$B$1:$C$4,2,0)</f>
        <v>92300</v>
      </c>
      <c r="L19" s="6" t="n">
        <f aca="false">IF($C19&gt;=70.083,IF(L18=0,IF(DAY(MAX($G$1,$G$3))=1,12,11)*HLOOKUP(VLOOKUP($L$8,$J$1:$K$2,2,0),$B$1:$C$4,3,0),L18+12*HLOOKUP(VLOOKUP($L$8,$J$1:$K$2,2,0),$B$1:$C$4,3,0)),0)</f>
        <v>0</v>
      </c>
      <c r="M19" s="6" t="n">
        <f aca="false">IF($C19&gt;=(66+1/3),IF(M18=0,IF(DAY(MAX($G$1,$G$3))=1,12,11)*HLOOKUP(VLOOKUP($L$8,$J$1:$K$2,2,0),$B$1:$C$4,2,0),M18+12*HLOOKUP(VLOOKUP($L$8,$J$1:$K$2,2,0),$B$1:$C$4,2,0)),0)</f>
        <v>0</v>
      </c>
      <c r="N19" s="6" t="n">
        <f aca="false">IF($C19&gt;=62.083,IF(N18=0,IF(DAY(MAX($G$1,$G$3))=1,12,11)*HLOOKUP(VLOOKUP($L$8,$J$1:$K$2,2,0),$B$1:$C$4,4,0),N18+12*HLOOKUP(VLOOKUP($L$8,$J$1:$K$2,2,0),$B$1:$C$4,4,0)),0)</f>
        <v>0</v>
      </c>
      <c r="O19" s="6" t="n">
        <f aca="false">IF($C19&gt;=62.083,IF(O18=0,IF(DAY(MAX($G$1,$G$3))=1,12,11)*0.325*HLOOKUP(VLOOKUP($G$8,$J$1:$K$2,2,0),$B$1:$C$4,2,0),O18+12*0.325*HLOOKUP(VLOOKUP($G$8,$J$1:$K$2,2,0),$B$1:$C$4,2,0)),0)</f>
        <v>0</v>
      </c>
      <c r="P19" s="6" t="n">
        <f aca="false">IF($C19&gt;=(66+1/3),IF(P18=0,IF(DAY(MAX($G$1,$G$3))=1,12,11)*0.5*HLOOKUP(VLOOKUP($G$8,$J$1:$K$2,2,0),$B$1:$C$4,2,0),P18+12*0.5*HLOOKUP(VLOOKUP($G$8,$J$1:$K$2,2,0),$B$1:$C$4,2,0)),0)</f>
        <v>0</v>
      </c>
      <c r="Q19" s="6"/>
      <c r="R19" s="6"/>
    </row>
    <row r="20" customFormat="false" ht="15" hidden="false" customHeight="false" outlineLevel="0" collapsed="false">
      <c r="A20" s="2" t="n">
        <f aca="false">A19+365.25</f>
        <v>47151</v>
      </c>
      <c r="B20" s="0" t="n">
        <f aca="false">B19+1</f>
        <v>72</v>
      </c>
      <c r="C20" s="0" t="n">
        <f aca="false">C19+1</f>
        <v>62.0862422997947</v>
      </c>
      <c r="D20" s="0" t="n">
        <f aca="false">IF(AND(R20&gt;Q20,R20&gt;O20),62,IF(Q20&gt;O20,"FRA",70))</f>
        <v>70</v>
      </c>
      <c r="G20" s="6" t="n">
        <f aca="false">G19+12*HLOOKUP(VLOOKUP($G$8,$J$1:$K$2,2,0),$B$1:$C$4,3,0)</f>
        <v>57500</v>
      </c>
      <c r="H20" s="6" t="n">
        <f aca="false">H19+HLOOKUP(VLOOKUP($G$8,$J$1:$K$2,2,0),$B$1:$C$4,2,0)*12</f>
        <v>140700</v>
      </c>
      <c r="I20" s="6" t="n">
        <f aca="false">I19+HLOOKUP(VLOOKUP($G$8,$J$1:$K$2,2,0),$B$1:$C$4,4,0)*12</f>
        <v>142800</v>
      </c>
      <c r="J20" s="6" t="n">
        <f aca="false">J19+12*0.325*HLOOKUP(VLOOKUP($L$8,$J$1:$K$2,2,0),$B$1:$C$4,2,0)</f>
        <v>100555</v>
      </c>
      <c r="K20" s="6" t="n">
        <f aca="false">K19+12*0.5*HLOOKUP(VLOOKUP($L$8,$J$1:$K$2,2,0),$B$1:$C$4,2,0)</f>
        <v>107900</v>
      </c>
      <c r="L20" s="6" t="n">
        <f aca="false">IF($C20&gt;=70.083,IF(L19=0,IF(DAY(MAX($G$1,$G$3))=1,12,11)*HLOOKUP(VLOOKUP($L$8,$J$1:$K$2,2,0),$B$1:$C$4,3,0),L19+12*HLOOKUP(VLOOKUP($L$8,$J$1:$K$2,2,0),$B$1:$C$4,3,0)),0)</f>
        <v>0</v>
      </c>
      <c r="M20" s="6" t="n">
        <f aca="false">IF($C20&gt;=(66+1/3),IF(M19=0,IF(DAY(MAX($G$1,$G$3))=1,12,11)*HLOOKUP(VLOOKUP($L$8,$J$1:$K$2,2,0),$B$1:$C$4,2,0),M19+12*HLOOKUP(VLOOKUP($L$8,$J$1:$K$2,2,0),$B$1:$C$4,2,0)),0)</f>
        <v>0</v>
      </c>
      <c r="N20" s="6" t="n">
        <f aca="false">IF($C20&gt;=62.083,IF(N19=0,IF(DAY(MAX($G$1,$G$3))=1,12,11)*HLOOKUP(VLOOKUP($L$8,$J$1:$K$2,2,0),$B$1:$C$4,4,0),N19+12*HLOOKUP(VLOOKUP($L$8,$J$1:$K$2,2,0),$B$1:$C$4,4,0)),0)</f>
        <v>18700</v>
      </c>
      <c r="O20" s="6" t="n">
        <f aca="false">IF($C20&gt;=62.083,IF(O19=0,IF(DAY(MAX($G$1,$G$3))=1,12,11)*0.325*HLOOKUP(VLOOKUP($G$8,$J$1:$K$2,2,0),$B$1:$C$4,2,0),O19+12*0.325*HLOOKUP(VLOOKUP($G$8,$J$1:$K$2,2,0),$B$1:$C$4,2,0)),0)</f>
        <v>7507.5</v>
      </c>
      <c r="P20" s="6" t="n">
        <f aca="false">IF($C20&gt;=(66+1/3),IF(P19=0,IF(DAY(MAX($G$1,$G$3))=1,12,11)*0.5*HLOOKUP(VLOOKUP($G$8,$J$1:$K$2,2,0),$B$1:$C$4,2,0),P19+12*0.5*HLOOKUP(VLOOKUP($G$8,$J$1:$K$2,2,0),$B$1:$C$4,2,0)),0)</f>
        <v>0</v>
      </c>
      <c r="Q20" s="6"/>
      <c r="R20" s="6"/>
    </row>
    <row r="21" customFormat="false" ht="15" hidden="false" customHeight="false" outlineLevel="0" collapsed="false">
      <c r="A21" s="2" t="n">
        <f aca="false">A20+365.25</f>
        <v>47516.25</v>
      </c>
      <c r="B21" s="0" t="n">
        <f aca="false">B20+1</f>
        <v>73</v>
      </c>
      <c r="C21" s="0" t="n">
        <f aca="false">C20+1</f>
        <v>63.0862422997947</v>
      </c>
      <c r="D21" s="0" t="n">
        <f aca="false">IF(AND(R21&gt;Q21,R21&gt;O21),62,IF(Q21&gt;O21,"FRA",70))</f>
        <v>70</v>
      </c>
      <c r="G21" s="6" t="n">
        <f aca="false">G20+12*HLOOKUP(VLOOKUP($G$8,$J$1:$K$2,2,0),$B$1:$C$4,3,0)</f>
        <v>87500</v>
      </c>
      <c r="H21" s="6" t="n">
        <f aca="false">H20+HLOOKUP(VLOOKUP($G$8,$J$1:$K$2,2,0),$B$1:$C$4,2,0)*12</f>
        <v>165900</v>
      </c>
      <c r="I21" s="6" t="n">
        <f aca="false">I20+HLOOKUP(VLOOKUP($G$8,$J$1:$K$2,2,0),$B$1:$C$4,4,0)*12</f>
        <v>157200</v>
      </c>
      <c r="J21" s="6" t="n">
        <f aca="false">J20+12*0.325*HLOOKUP(VLOOKUP($L$8,$J$1:$K$2,2,0),$B$1:$C$4,2,0)</f>
        <v>110695</v>
      </c>
      <c r="K21" s="6" t="n">
        <f aca="false">K20+12*0.5*HLOOKUP(VLOOKUP($L$8,$J$1:$K$2,2,0),$B$1:$C$4,2,0)</f>
        <v>123500</v>
      </c>
      <c r="L21" s="6" t="n">
        <f aca="false">IF($C21&gt;=70.083,IF(L20=0,IF(DAY(MAX($G$1,$G$3))=1,12,11)*HLOOKUP(VLOOKUP($L$8,$J$1:$K$2,2,0),$B$1:$C$4,3,0),L20+12*HLOOKUP(VLOOKUP($L$8,$J$1:$K$2,2,0),$B$1:$C$4,3,0)),0)</f>
        <v>0</v>
      </c>
      <c r="M21" s="6" t="n">
        <f aca="false">IF($C21&gt;=(66+1/3),IF(M20=0,IF(DAY(MAX($G$1,$G$3))=1,12,11)*HLOOKUP(VLOOKUP($L$8,$J$1:$K$2,2,0),$B$1:$C$4,2,0),M20+12*HLOOKUP(VLOOKUP($L$8,$J$1:$K$2,2,0),$B$1:$C$4,2,0)),0)</f>
        <v>0</v>
      </c>
      <c r="N21" s="6" t="n">
        <f aca="false">IF($C21&gt;=62.083,IF(N20=0,IF(DAY(MAX($G$1,$G$3))=1,12,11)*HLOOKUP(VLOOKUP($L$8,$J$1:$K$2,2,0),$B$1:$C$4,4,0),N20+12*HLOOKUP(VLOOKUP($L$8,$J$1:$K$2,2,0),$B$1:$C$4,4,0)),0)</f>
        <v>39100</v>
      </c>
      <c r="O21" s="6" t="n">
        <f aca="false">IF($C21&gt;=62.083,IF(O20=0,IF(DAY(MAX($G$1,$G$3))=1,12,11)*0.325*HLOOKUP(VLOOKUP($G$8,$J$1:$K$2,2,0),$B$1:$C$4,2,0),O20+12*0.325*HLOOKUP(VLOOKUP($G$8,$J$1:$K$2,2,0),$B$1:$C$4,2,0)),0)</f>
        <v>15697.5</v>
      </c>
      <c r="P21" s="6" t="n">
        <f aca="false">IF($C21&gt;=(66+1/3),IF(P20=0,IF(DAY(MAX($G$1,$G$3))=1,12,11)*0.5*HLOOKUP(VLOOKUP($G$8,$J$1:$K$2,2,0),$B$1:$C$4,2,0),P20+12*0.5*HLOOKUP(VLOOKUP($G$8,$J$1:$K$2,2,0),$B$1:$C$4,2,0)),0)</f>
        <v>0</v>
      </c>
      <c r="Q21" s="6"/>
      <c r="R21" s="6"/>
    </row>
    <row r="22" customFormat="false" ht="15" hidden="false" customHeight="false" outlineLevel="0" collapsed="false">
      <c r="A22" s="2" t="n">
        <f aca="false">A21+365.25</f>
        <v>47881.5</v>
      </c>
      <c r="B22" s="0" t="n">
        <f aca="false">B21+1</f>
        <v>74</v>
      </c>
      <c r="C22" s="0" t="n">
        <f aca="false">C21+1</f>
        <v>64.0862422997947</v>
      </c>
      <c r="D22" s="0" t="n">
        <f aca="false">IF(AND(R22&gt;Q22,R22&gt;O22),62,IF(Q22&gt;O22,"FRA",70))</f>
        <v>70</v>
      </c>
      <c r="G22" s="6" t="n">
        <f aca="false">G21+12*HLOOKUP(VLOOKUP($G$8,$J$1:$K$2,2,0),$B$1:$C$4,3,0)</f>
        <v>117500</v>
      </c>
      <c r="H22" s="6" t="n">
        <f aca="false">H21+HLOOKUP(VLOOKUP($G$8,$J$1:$K$2,2,0),$B$1:$C$4,2,0)*12</f>
        <v>191100</v>
      </c>
      <c r="I22" s="6" t="n">
        <f aca="false">I21+HLOOKUP(VLOOKUP($G$8,$J$1:$K$2,2,0),$B$1:$C$4,4,0)*12</f>
        <v>171600</v>
      </c>
      <c r="J22" s="6" t="n">
        <f aca="false">J21+12*0.325*HLOOKUP(VLOOKUP($L$8,$J$1:$K$2,2,0),$B$1:$C$4,2,0)</f>
        <v>120835</v>
      </c>
      <c r="K22" s="6" t="n">
        <f aca="false">K21+12*0.5*HLOOKUP(VLOOKUP($L$8,$J$1:$K$2,2,0),$B$1:$C$4,2,0)</f>
        <v>139100</v>
      </c>
      <c r="L22" s="6" t="n">
        <f aca="false">IF($C22&gt;=70.083,IF(L21=0,IF(DAY(MAX($G$1,$G$3))=1,12,11)*HLOOKUP(VLOOKUP($L$8,$J$1:$K$2,2,0),$B$1:$C$4,3,0),L21+12*HLOOKUP(VLOOKUP($L$8,$J$1:$K$2,2,0),$B$1:$C$4,3,0)),0)</f>
        <v>0</v>
      </c>
      <c r="M22" s="6" t="n">
        <f aca="false">IF($C22&gt;=(66+1/3),IF(M21=0,IF(DAY(MAX($G$1,$G$3))=1,12,11)*HLOOKUP(VLOOKUP($L$8,$J$1:$K$2,2,0),$B$1:$C$4,2,0),M21+12*HLOOKUP(VLOOKUP($L$8,$J$1:$K$2,2,0),$B$1:$C$4,2,0)),0)</f>
        <v>0</v>
      </c>
      <c r="N22" s="6" t="n">
        <f aca="false">IF($C22&gt;=62.083,IF(N21=0,IF(DAY(MAX($G$1,$G$3))=1,12,11)*HLOOKUP(VLOOKUP($L$8,$J$1:$K$2,2,0),$B$1:$C$4,4,0),N21+12*HLOOKUP(VLOOKUP($L$8,$J$1:$K$2,2,0),$B$1:$C$4,4,0)),0)</f>
        <v>59500</v>
      </c>
      <c r="O22" s="6" t="n">
        <f aca="false">IF($C22&gt;=62.083,IF(O21=0,IF(DAY(MAX($G$1,$G$3))=1,12,11)*0.325*HLOOKUP(VLOOKUP($G$8,$J$1:$K$2,2,0),$B$1:$C$4,2,0),O21+12*0.325*HLOOKUP(VLOOKUP($G$8,$J$1:$K$2,2,0),$B$1:$C$4,2,0)),0)</f>
        <v>23887.5</v>
      </c>
      <c r="P22" s="6" t="n">
        <f aca="false">IF($C22&gt;=(66+1/3),IF(P21=0,IF(DAY(MAX($G$1,$G$3))=1,12,11)*0.5*HLOOKUP(VLOOKUP($G$8,$J$1:$K$2,2,0),$B$1:$C$4,2,0),P21+12*0.5*HLOOKUP(VLOOKUP($G$8,$J$1:$K$2,2,0),$B$1:$C$4,2,0)),0)</f>
        <v>0</v>
      </c>
      <c r="Q22" s="6"/>
      <c r="R22" s="6"/>
    </row>
    <row r="23" customFormat="false" ht="15" hidden="false" customHeight="false" outlineLevel="0" collapsed="false">
      <c r="A23" s="2" t="n">
        <f aca="false">A22+365.25</f>
        <v>48246.75</v>
      </c>
      <c r="B23" s="0" t="n">
        <f aca="false">B22+1</f>
        <v>75</v>
      </c>
      <c r="C23" s="0" t="n">
        <f aca="false">C22+1</f>
        <v>65.0862422997947</v>
      </c>
      <c r="D23" s="0" t="n">
        <f aca="false">IF(AND(R23&gt;Q23,R23&gt;O23),62,IF(Q23&gt;O23,"FRA",70))</f>
        <v>70</v>
      </c>
      <c r="G23" s="6" t="n">
        <f aca="false">G22+12*HLOOKUP(VLOOKUP($G$8,$J$1:$K$2,2,0),$B$1:$C$4,3,0)</f>
        <v>147500</v>
      </c>
      <c r="H23" s="6" t="n">
        <f aca="false">H22+HLOOKUP(VLOOKUP($G$8,$J$1:$K$2,2,0),$B$1:$C$4,2,0)*12</f>
        <v>216300</v>
      </c>
      <c r="I23" s="6" t="n">
        <f aca="false">I22+HLOOKUP(VLOOKUP($G$8,$J$1:$K$2,2,0),$B$1:$C$4,4,0)*12</f>
        <v>186000</v>
      </c>
      <c r="J23" s="6" t="n">
        <f aca="false">J22+12*0.325*HLOOKUP(VLOOKUP($L$8,$J$1:$K$2,2,0),$B$1:$C$4,2,0)</f>
        <v>130975</v>
      </c>
      <c r="K23" s="6" t="n">
        <f aca="false">K22+12*0.5*HLOOKUP(VLOOKUP($L$8,$J$1:$K$2,2,0),$B$1:$C$4,2,0)</f>
        <v>154700</v>
      </c>
      <c r="L23" s="6" t="n">
        <f aca="false">IF($C23&gt;=70.083,IF(L22=0,IF(DAY(MAX($G$1,$G$3))=1,12,11)*HLOOKUP(VLOOKUP($L$8,$J$1:$K$2,2,0),$B$1:$C$4,3,0),L22+12*HLOOKUP(VLOOKUP($L$8,$J$1:$K$2,2,0),$B$1:$C$4,3,0)),0)</f>
        <v>0</v>
      </c>
      <c r="M23" s="6" t="n">
        <f aca="false">IF($C23&gt;=(66+1/3),IF(M22=0,IF(DAY(MAX($G$1,$G$3))=1,12,11)*HLOOKUP(VLOOKUP($L$8,$J$1:$K$2,2,0),$B$1:$C$4,2,0),M22+12*HLOOKUP(VLOOKUP($L$8,$J$1:$K$2,2,0),$B$1:$C$4,2,0)),0)</f>
        <v>0</v>
      </c>
      <c r="N23" s="6" t="n">
        <f aca="false">IF($C23&gt;=62.083,IF(N22=0,IF(DAY(MAX($G$1,$G$3))=1,12,11)*HLOOKUP(VLOOKUP($L$8,$J$1:$K$2,2,0),$B$1:$C$4,4,0),N22+12*HLOOKUP(VLOOKUP($L$8,$J$1:$K$2,2,0),$B$1:$C$4,4,0)),0)</f>
        <v>79900</v>
      </c>
      <c r="O23" s="6" t="n">
        <f aca="false">IF($C23&gt;=62.083,IF(O22=0,IF(DAY(MAX($G$1,$G$3))=1,12,11)*0.325*HLOOKUP(VLOOKUP($G$8,$J$1:$K$2,2,0),$B$1:$C$4,2,0),O22+12*0.325*HLOOKUP(VLOOKUP($G$8,$J$1:$K$2,2,0),$B$1:$C$4,2,0)),0)</f>
        <v>32077.5</v>
      </c>
      <c r="P23" s="6" t="n">
        <f aca="false">IF($C23&gt;=(66+1/3),IF(P22=0,IF(DAY(MAX($G$1,$G$3))=1,12,11)*0.5*HLOOKUP(VLOOKUP($G$8,$J$1:$K$2,2,0),$B$1:$C$4,2,0),P22+12*0.5*HLOOKUP(VLOOKUP($G$8,$J$1:$K$2,2,0),$B$1:$C$4,2,0)),0)</f>
        <v>0</v>
      </c>
      <c r="Q23" s="6"/>
      <c r="R23" s="6"/>
    </row>
    <row r="24" customFormat="false" ht="15" hidden="false" customHeight="false" outlineLevel="0" collapsed="false">
      <c r="A24" s="2" t="n">
        <f aca="false">A23+365.25</f>
        <v>48612</v>
      </c>
      <c r="B24" s="0" t="n">
        <f aca="false">B23+1</f>
        <v>76</v>
      </c>
      <c r="C24" s="0" t="n">
        <f aca="false">C23+1</f>
        <v>66.0862422997947</v>
      </c>
      <c r="D24" s="0" t="n">
        <f aca="false">IF(AND(R24&gt;Q24,R24&gt;O24),62,IF(Q24&gt;O24,"FRA",70))</f>
        <v>70</v>
      </c>
      <c r="G24" s="6" t="n">
        <f aca="false">G23+12*HLOOKUP(VLOOKUP($G$8,$J$1:$K$2,2,0),$B$1:$C$4,3,0)</f>
        <v>177500</v>
      </c>
      <c r="H24" s="6" t="n">
        <f aca="false">H23+HLOOKUP(VLOOKUP($G$8,$J$1:$K$2,2,0),$B$1:$C$4,2,0)*12</f>
        <v>241500</v>
      </c>
      <c r="I24" s="6" t="n">
        <f aca="false">I23+HLOOKUP(VLOOKUP($G$8,$J$1:$K$2,2,0),$B$1:$C$4,4,0)*12</f>
        <v>200400</v>
      </c>
      <c r="J24" s="6" t="n">
        <f aca="false">J23+12*0.325*HLOOKUP(VLOOKUP($L$8,$J$1:$K$2,2,0),$B$1:$C$4,2,0)</f>
        <v>141115</v>
      </c>
      <c r="K24" s="6" t="n">
        <f aca="false">K23+12*0.5*HLOOKUP(VLOOKUP($L$8,$J$1:$K$2,2,0),$B$1:$C$4,2,0)</f>
        <v>170300</v>
      </c>
      <c r="L24" s="6" t="n">
        <f aca="false">IF($C24&gt;=70.083,IF(L23=0,IF(DAY(MAX($G$1,$G$3))=1,12,11)*HLOOKUP(VLOOKUP($L$8,$J$1:$K$2,2,0),$B$1:$C$4,3,0),L23+12*HLOOKUP(VLOOKUP($L$8,$J$1:$K$2,2,0),$B$1:$C$4,3,0)),0)</f>
        <v>0</v>
      </c>
      <c r="M24" s="6" t="n">
        <f aca="false">IF($C24&gt;=(66+1/3),IF(M23=0,IF(DAY(MAX($G$1,$G$3))=1,12,11)*HLOOKUP(VLOOKUP($L$8,$J$1:$K$2,2,0),$B$1:$C$4,2,0),M23+12*HLOOKUP(VLOOKUP($L$8,$J$1:$K$2,2,0),$B$1:$C$4,2,0)),0)</f>
        <v>0</v>
      </c>
      <c r="N24" s="6" t="n">
        <f aca="false">IF($C24&gt;=62.083,IF(N23=0,IF(DAY(MAX($G$1,$G$3))=1,12,11)*HLOOKUP(VLOOKUP($L$8,$J$1:$K$2,2,0),$B$1:$C$4,4,0),N23+12*HLOOKUP(VLOOKUP($L$8,$J$1:$K$2,2,0),$B$1:$C$4,4,0)),0)</f>
        <v>100300</v>
      </c>
      <c r="O24" s="6" t="n">
        <f aca="false">IF($C24&gt;=62.083,IF(O23=0,IF(DAY(MAX($G$1,$G$3))=1,12,11)*0.325*HLOOKUP(VLOOKUP($G$8,$J$1:$K$2,2,0),$B$1:$C$4,2,0),O23+12*0.325*HLOOKUP(VLOOKUP($G$8,$J$1:$K$2,2,0),$B$1:$C$4,2,0)),0)</f>
        <v>40267.5</v>
      </c>
      <c r="P24" s="6" t="n">
        <f aca="false">IF($C24&gt;=(66+1/3),IF(P23=0,IF(DAY(MAX($G$1,$G$3))=1,12,11)*0.5*HLOOKUP(VLOOKUP($G$8,$J$1:$K$2,2,0),$B$1:$C$4,2,0),P23+12*0.5*HLOOKUP(VLOOKUP($G$8,$J$1:$K$2,2,0),$B$1:$C$4,2,0)),0)</f>
        <v>0</v>
      </c>
      <c r="Q24" s="6"/>
      <c r="R24" s="6"/>
    </row>
    <row r="25" customFormat="false" ht="15" hidden="false" customHeight="false" outlineLevel="0" collapsed="false">
      <c r="A25" s="2" t="n">
        <f aca="false">A24+365.25</f>
        <v>48977.25</v>
      </c>
      <c r="B25" s="0" t="n">
        <f aca="false">B24+1</f>
        <v>77</v>
      </c>
      <c r="C25" s="0" t="n">
        <f aca="false">C24+1</f>
        <v>67.0862422997947</v>
      </c>
      <c r="D25" s="0" t="n">
        <f aca="false">IF(AND(R25&gt;Q25,R25&gt;O25),62,IF(Q25&gt;O25,"FRA",70))</f>
        <v>70</v>
      </c>
      <c r="G25" s="6" t="n">
        <f aca="false">G24+12*HLOOKUP(VLOOKUP($G$8,$J$1:$K$2,2,0),$B$1:$C$4,3,0)</f>
        <v>207500</v>
      </c>
      <c r="H25" s="6" t="n">
        <f aca="false">H24+HLOOKUP(VLOOKUP($G$8,$J$1:$K$2,2,0),$B$1:$C$4,2,0)*12</f>
        <v>266700</v>
      </c>
      <c r="I25" s="6" t="n">
        <f aca="false">I24+HLOOKUP(VLOOKUP($G$8,$J$1:$K$2,2,0),$B$1:$C$4,4,0)*12</f>
        <v>214800</v>
      </c>
      <c r="J25" s="6" t="n">
        <f aca="false">J24+12*0.325*HLOOKUP(VLOOKUP($L$8,$J$1:$K$2,2,0),$B$1:$C$4,2,0)</f>
        <v>151255</v>
      </c>
      <c r="K25" s="6" t="n">
        <f aca="false">K24+12*0.5*HLOOKUP(VLOOKUP($L$8,$J$1:$K$2,2,0),$B$1:$C$4,2,0)</f>
        <v>185900</v>
      </c>
      <c r="L25" s="6" t="n">
        <f aca="false">IF($C25&gt;=70.083,IF(L24=0,IF(DAY(MAX($G$1,$G$3))=1,12,11)*HLOOKUP(VLOOKUP($L$8,$J$1:$K$2,2,0),$B$1:$C$4,3,0),L24+12*HLOOKUP(VLOOKUP($L$8,$J$1:$K$2,2,0),$B$1:$C$4,3,0)),0)</f>
        <v>0</v>
      </c>
      <c r="M25" s="6" t="n">
        <f aca="false">IF($C25&gt;=(66+1/3),IF(M24=0,IF(DAY(MAX($G$1,$G$3))=1,8,7)*HLOOKUP(VLOOKUP($L$8,$J$1:$K$2,2,0),$B$1:$C$4,2,0),M24+12*HLOOKUP(VLOOKUP($L$8,$J$1:$K$2,2,0),$B$1:$C$4,2,0)),0)</f>
        <v>18200</v>
      </c>
      <c r="N25" s="6" t="n">
        <f aca="false">IF($C25&gt;=62.083,IF(N24=0,IF(DAY(MAX($G$1,$G$3))=1,12,11)*HLOOKUP(VLOOKUP($L$8,$J$1:$K$2,2,0),$B$1:$C$4,4,0),N24+12*HLOOKUP(VLOOKUP($L$8,$J$1:$K$2,2,0),$B$1:$C$4,4,0)),0)</f>
        <v>120700</v>
      </c>
      <c r="O25" s="6" t="n">
        <f aca="false">IF($C25&gt;=62.083,IF(O24=0,IF(DAY(MAX($G$1,$G$3))=1,12,11)*0.325*HLOOKUP(VLOOKUP($G$8,$J$1:$K$2,2,0),$B$1:$C$4,2,0),O24+12*0.325*HLOOKUP(VLOOKUP($G$8,$J$1:$K$2,2,0),$B$1:$C$4,2,0)),0)</f>
        <v>48457.5</v>
      </c>
      <c r="P25" s="6" t="n">
        <f aca="false">IF($C25&gt;=(66+1/3),IF(P24=0,IF(DAY(MAX($G$1,$G$3))=1,8,7)*0.5*HLOOKUP(VLOOKUP($G$8,$J$1:$K$2,2,0),$B$1:$C$4,2,0),P24+12*0.5*HLOOKUP(VLOOKUP($G$8,$J$1:$K$2,2,0),$B$1:$C$4,2,0)),0)</f>
        <v>7350</v>
      </c>
      <c r="Q25" s="6"/>
      <c r="R25" s="6"/>
    </row>
    <row r="26" customFormat="false" ht="15" hidden="false" customHeight="false" outlineLevel="0" collapsed="false">
      <c r="A26" s="2" t="n">
        <f aca="false">A25+365.25</f>
        <v>49342.5</v>
      </c>
      <c r="B26" s="0" t="n">
        <f aca="false">B25+1</f>
        <v>78</v>
      </c>
      <c r="C26" s="0" t="n">
        <f aca="false">C25+1</f>
        <v>68.0862422997947</v>
      </c>
      <c r="D26" s="0" t="n">
        <f aca="false">IF(AND(R26&gt;Q26,R26&gt;O26),62,IF(Q26&gt;O26,"FRA",70))</f>
        <v>70</v>
      </c>
      <c r="G26" s="6" t="n">
        <f aca="false">G25+12*HLOOKUP(VLOOKUP($G$8,$J$1:$K$2,2,0),$B$1:$C$4,3,0)</f>
        <v>237500</v>
      </c>
      <c r="H26" s="6" t="n">
        <f aca="false">H25+HLOOKUP(VLOOKUP($G$8,$J$1:$K$2,2,0),$B$1:$C$4,2,0)*12</f>
        <v>291900</v>
      </c>
      <c r="I26" s="6" t="n">
        <f aca="false">I25+HLOOKUP(VLOOKUP($G$8,$J$1:$K$2,2,0),$B$1:$C$4,4,0)*12</f>
        <v>229200</v>
      </c>
      <c r="J26" s="6" t="n">
        <f aca="false">J25+12*0.325*HLOOKUP(VLOOKUP($L$8,$J$1:$K$2,2,0),$B$1:$C$4,2,0)</f>
        <v>161395</v>
      </c>
      <c r="K26" s="6" t="n">
        <f aca="false">K25+12*0.5*HLOOKUP(VLOOKUP($L$8,$J$1:$K$2,2,0),$B$1:$C$4,2,0)</f>
        <v>201500</v>
      </c>
      <c r="L26" s="6" t="n">
        <f aca="false">IF($C26&gt;=70.083,IF(L25=0,IF(DAY(MAX($G$1,$G$3))=1,12,11)*HLOOKUP(VLOOKUP($L$8,$J$1:$K$2,2,0),$B$1:$C$4,3,0),L25+12*HLOOKUP(VLOOKUP($L$8,$J$1:$K$2,2,0),$B$1:$C$4,3,0)),0)</f>
        <v>0</v>
      </c>
      <c r="M26" s="6" t="n">
        <f aca="false">IF($C26&gt;=(66+1/3),IF(M25=0,IF(DAY(MAX($G$1,$G$3))=1,8,7)*HLOOKUP(VLOOKUP($L$8,$J$1:$K$2,2,0),$B$1:$C$4,2,0),M25+12*HLOOKUP(VLOOKUP($L$8,$J$1:$K$2,2,0),$B$1:$C$4,2,0)),0)</f>
        <v>49400</v>
      </c>
      <c r="N26" s="6" t="n">
        <f aca="false">IF($C26&gt;=62.083,IF(N25=0,IF(DAY(MAX($G$1,$G$3))=1,12,11)*HLOOKUP(VLOOKUP($L$8,$J$1:$K$2,2,0),$B$1:$C$4,4,0),N25+12*HLOOKUP(VLOOKUP($L$8,$J$1:$K$2,2,0),$B$1:$C$4,4,0)),0)</f>
        <v>141100</v>
      </c>
      <c r="O26" s="6" t="n">
        <f aca="false">IF($C26&gt;=62.083,IF(O25=0,IF(DAY(MAX($G$1,$G$3))=1,12,11)*0.325*HLOOKUP(VLOOKUP($G$8,$J$1:$K$2,2,0),$B$1:$C$4,2,0),O25+12*0.325*HLOOKUP(VLOOKUP($G$8,$J$1:$K$2,2,0),$B$1:$C$4,2,0)),0)</f>
        <v>56647.5</v>
      </c>
      <c r="P26" s="6" t="n">
        <f aca="false">IF($C26&gt;=(66+1/3),IF(P25=0,IF(DAY(MAX($G$1,$G$3))=1,12,11)*0.5*HLOOKUP(VLOOKUP($G$8,$J$1:$K$2,2,0),$B$1:$C$4,2,0),P25+12*0.5*HLOOKUP(VLOOKUP($G$8,$J$1:$K$2,2,0),$B$1:$C$4,2,0)),0)</f>
        <v>19950</v>
      </c>
      <c r="Q26" s="6"/>
      <c r="R26" s="6"/>
    </row>
    <row r="27" customFormat="false" ht="15" hidden="false" customHeight="false" outlineLevel="0" collapsed="false">
      <c r="A27" s="2" t="n">
        <f aca="false">A26+365.25</f>
        <v>49707.75</v>
      </c>
      <c r="B27" s="0" t="n">
        <f aca="false">B26+1</f>
        <v>79</v>
      </c>
      <c r="C27" s="0" t="n">
        <f aca="false">C26+1</f>
        <v>69.0862422997947</v>
      </c>
      <c r="D27" s="0" t="n">
        <f aca="false">IF(AND(R27&gt;Q27,R27&gt;O27),62,IF(Q27&gt;O27,"FRA",70))</f>
        <v>70</v>
      </c>
      <c r="G27" s="6" t="n">
        <f aca="false">G26+12*HLOOKUP(VLOOKUP($G$8,$J$1:$K$2,2,0),$B$1:$C$4,3,0)</f>
        <v>267500</v>
      </c>
      <c r="H27" s="6" t="n">
        <f aca="false">H26+HLOOKUP(VLOOKUP($G$8,$J$1:$K$2,2,0),$B$1:$C$4,2,0)*12</f>
        <v>317100</v>
      </c>
      <c r="I27" s="6" t="n">
        <f aca="false">I26+HLOOKUP(VLOOKUP($G$8,$J$1:$K$2,2,0),$B$1:$C$4,4,0)*12</f>
        <v>243600</v>
      </c>
      <c r="J27" s="6" t="n">
        <f aca="false">J26+12*0.325*HLOOKUP(VLOOKUP($L$8,$J$1:$K$2,2,0),$B$1:$C$4,2,0)</f>
        <v>171535</v>
      </c>
      <c r="K27" s="6" t="n">
        <f aca="false">K26+12*0.5*HLOOKUP(VLOOKUP($L$8,$J$1:$K$2,2,0),$B$1:$C$4,2,0)</f>
        <v>217100</v>
      </c>
      <c r="L27" s="6" t="n">
        <f aca="false">IF($C27&gt;=70.083,IF(L26=0,IF(DAY(MAX($G$1,$G$3))=1,12,11)*HLOOKUP(VLOOKUP($L$8,$J$1:$K$2,2,0),$B$1:$C$4,3,0),L26+12*HLOOKUP(VLOOKUP($L$8,$J$1:$K$2,2,0),$B$1:$C$4,3,0)),0)</f>
        <v>0</v>
      </c>
      <c r="M27" s="6" t="n">
        <f aca="false">IF($C27&gt;=(66+1/3),IF(M26=0,IF(DAY(MAX($G$1,$G$3))=1,8,7)*HLOOKUP(VLOOKUP($L$8,$J$1:$K$2,2,0),$B$1:$C$4,2,0),M26+12*HLOOKUP(VLOOKUP($L$8,$J$1:$K$2,2,0),$B$1:$C$4,2,0)),0)</f>
        <v>80600</v>
      </c>
      <c r="N27" s="6" t="n">
        <f aca="false">IF($C27&gt;=62.083,IF(N26=0,IF(DAY(MAX($G$1,$G$3))=1,12,11)*HLOOKUP(VLOOKUP($L$8,$J$1:$K$2,2,0),$B$1:$C$4,4,0),N26+12*HLOOKUP(VLOOKUP($L$8,$J$1:$K$2,2,0),$B$1:$C$4,4,0)),0)</f>
        <v>161500</v>
      </c>
      <c r="O27" s="6" t="n">
        <f aca="false">IF($C27&gt;=62.083,IF(O26=0,IF(DAY(MAX($G$1,$G$3))=1,12,11)*0.325*HLOOKUP(VLOOKUP($G$8,$J$1:$K$2,2,0),$B$1:$C$4,2,0),O26+12*0.325*HLOOKUP(VLOOKUP($G$8,$J$1:$K$2,2,0),$B$1:$C$4,2,0)),0)</f>
        <v>64837.5</v>
      </c>
      <c r="P27" s="6" t="n">
        <f aca="false">IF($C27&gt;=(66+1/3),IF(P26=0,IF(DAY(MAX($G$1,$G$3))=1,12,11)*0.5*HLOOKUP(VLOOKUP($G$8,$J$1:$K$2,2,0),$B$1:$C$4,2,0),P26+12*0.5*HLOOKUP(VLOOKUP($G$8,$J$1:$K$2,2,0),$B$1:$C$4,2,0)),0)</f>
        <v>32550</v>
      </c>
      <c r="Q27" s="6"/>
      <c r="R27" s="6"/>
    </row>
    <row r="28" customFormat="false" ht="15" hidden="false" customHeight="false" outlineLevel="0" collapsed="false">
      <c r="A28" s="2" t="n">
        <f aca="false">A27+365.25</f>
        <v>50073</v>
      </c>
      <c r="B28" s="0" t="n">
        <f aca="false">B27+1</f>
        <v>80</v>
      </c>
      <c r="C28" s="0" t="n">
        <f aca="false">C27+1</f>
        <v>70.0862422997947</v>
      </c>
      <c r="D28" s="0" t="n">
        <f aca="false">IF(AND(R28&gt;Q28,R28&gt;O28),62,IF(Q28&gt;O28,"FRA",70))</f>
        <v>70</v>
      </c>
      <c r="G28" s="6" t="n">
        <f aca="false">G27+12*HLOOKUP(VLOOKUP($G$8,$J$1:$K$2,2,0),$B$1:$C$4,3,0)</f>
        <v>297500</v>
      </c>
      <c r="H28" s="6" t="n">
        <f aca="false">H27+HLOOKUP(VLOOKUP($G$8,$J$1:$K$2,2,0),$B$1:$C$4,2,0)*12</f>
        <v>342300</v>
      </c>
      <c r="I28" s="6" t="n">
        <f aca="false">I27+HLOOKUP(VLOOKUP($G$8,$J$1:$K$2,2,0),$B$1:$C$4,4,0)*12</f>
        <v>258000</v>
      </c>
      <c r="J28" s="6" t="n">
        <f aca="false">J27+12*0.325*HLOOKUP(VLOOKUP($L$8,$J$1:$K$2,2,0),$B$1:$C$4,2,0)</f>
        <v>181675</v>
      </c>
      <c r="K28" s="6" t="n">
        <f aca="false">K27+12*0.5*HLOOKUP(VLOOKUP($L$8,$J$1:$K$2,2,0),$B$1:$C$4,2,0)</f>
        <v>232700</v>
      </c>
      <c r="L28" s="6" t="n">
        <f aca="false">IF($C28&gt;=70.083,IF(L27=0,IF(DAY(MAX($G$1,$G$3))=1,12,11)*HLOOKUP(VLOOKUP($L$8,$J$1:$K$2,2,0),$B$1:$C$4,3,0),L27+12*HLOOKUP(VLOOKUP($L$8,$J$1:$K$2,2,0),$B$1:$C$4,3,0)),0)</f>
        <v>33000</v>
      </c>
      <c r="M28" s="6" t="n">
        <f aca="false">IF($C28&gt;=(66+1/3),IF(M27=0,IF(DAY(MAX($G$1,$G$3))=1,8,7)*HLOOKUP(VLOOKUP($L$8,$J$1:$K$2,2,0),$B$1:$C$4,2,0),M27+12*HLOOKUP(VLOOKUP($L$8,$J$1:$K$2,2,0),$B$1:$C$4,2,0)),0)</f>
        <v>111800</v>
      </c>
      <c r="N28" s="6" t="n">
        <f aca="false">IF($C28&gt;=62.083,IF(N27=0,IF(DAY(MAX($G$1,$G$3))=1,12,11)*HLOOKUP(VLOOKUP($L$8,$J$1:$K$2,2,0),$B$1:$C$4,4,0),N27+12*HLOOKUP(VLOOKUP($L$8,$J$1:$K$2,2,0),$B$1:$C$4,4,0)),0)</f>
        <v>181900</v>
      </c>
      <c r="O28" s="6" t="n">
        <f aca="false">IF($C28&gt;=62.083,IF(O27=0,IF(DAY(MAX($G$1,$G$3))=1,12,11)*0.325*HLOOKUP(VLOOKUP($G$8,$J$1:$K$2,2,0),$B$1:$C$4,2,0),O27+12*0.325*HLOOKUP(VLOOKUP($G$8,$J$1:$K$2,2,0),$B$1:$C$4,2,0)),0)</f>
        <v>73027.5</v>
      </c>
      <c r="P28" s="6" t="n">
        <f aca="false">IF($C28&gt;=(66+1/3),IF(P27=0,IF(DAY(MAX($G$1,$G$3))=1,12,11)*0.5*HLOOKUP(VLOOKUP($G$8,$J$1:$K$2,2,0),$B$1:$C$4,2,0),P27+12*0.5*HLOOKUP(VLOOKUP($G$8,$J$1:$K$2,2,0),$B$1:$C$4,2,0)),0)</f>
        <v>45150</v>
      </c>
      <c r="Q28" s="6"/>
      <c r="R28" s="6"/>
    </row>
    <row r="29" customFormat="false" ht="15" hidden="false" customHeight="false" outlineLevel="0" collapsed="false">
      <c r="A29" s="2" t="n">
        <f aca="false">A28+365.25</f>
        <v>50438.25</v>
      </c>
      <c r="B29" s="0" t="n">
        <f aca="false">B28+1</f>
        <v>81</v>
      </c>
      <c r="C29" s="0" t="n">
        <f aca="false">C28+1</f>
        <v>71.0862422997947</v>
      </c>
      <c r="D29" s="0" t="n">
        <f aca="false">IF(AND(R29&gt;Q29,R29&gt;O29),62,IF(Q29&gt;O29,"FRA",70))</f>
        <v>70</v>
      </c>
      <c r="G29" s="6" t="n">
        <f aca="false">G28+12*HLOOKUP(VLOOKUP($G$8,$J$1:$K$2,2,0),$B$1:$C$4,3,0)</f>
        <v>327500</v>
      </c>
      <c r="H29" s="6" t="n">
        <f aca="false">H28+HLOOKUP(VLOOKUP($G$8,$J$1:$K$2,2,0),$B$1:$C$4,2,0)*12</f>
        <v>367500</v>
      </c>
      <c r="I29" s="6" t="n">
        <f aca="false">I28+HLOOKUP(VLOOKUP($G$8,$J$1:$K$2,2,0),$B$1:$C$4,4,0)*12</f>
        <v>272400</v>
      </c>
      <c r="J29" s="6" t="n">
        <f aca="false">J28+12*0.325*HLOOKUP(VLOOKUP($L$8,$J$1:$K$2,2,0),$B$1:$C$4,2,0)</f>
        <v>191815</v>
      </c>
      <c r="K29" s="6" t="n">
        <f aca="false">K28+12*0.5*HLOOKUP(VLOOKUP($L$8,$J$1:$K$2,2,0),$B$1:$C$4,2,0)</f>
        <v>248300</v>
      </c>
      <c r="L29" s="6" t="n">
        <f aca="false">IF($C29&gt;=70.083,IF(L28=0,IF(DAY(MAX($G$1,$G$3))=1,12,11)*HLOOKUP(VLOOKUP($L$8,$J$1:$K$2,2,0),$B$1:$C$4,3,0),L28+12*HLOOKUP(VLOOKUP($L$8,$J$1:$K$2,2,0),$B$1:$C$4,3,0)),0)</f>
        <v>69000</v>
      </c>
      <c r="M29" s="6" t="n">
        <f aca="false">IF($C29&gt;=(66+1/3),IF(M28=0,IF(DAY(MAX($G$1,$G$3))=1,8,7)*HLOOKUP(VLOOKUP($L$8,$J$1:$K$2,2,0),$B$1:$C$4,2,0),M28+12*HLOOKUP(VLOOKUP($L$8,$J$1:$K$2,2,0),$B$1:$C$4,2,0)),0)</f>
        <v>143000</v>
      </c>
      <c r="N29" s="6" t="n">
        <f aca="false">IF($C29&gt;=62.083,IF(N28=0,IF(DAY(MAX($G$1,$G$3))=1,12,11)*HLOOKUP(VLOOKUP($L$8,$J$1:$K$2,2,0),$B$1:$C$4,4,0),N28+12*HLOOKUP(VLOOKUP($L$8,$J$1:$K$2,2,0),$B$1:$C$4,4,0)),0)</f>
        <v>202300</v>
      </c>
      <c r="O29" s="6" t="n">
        <f aca="false">IF($C29&gt;=62.083,IF(O28=0,IF(DAY(MAX($G$1,$G$3))=1,12,11)*0.325*HLOOKUP(VLOOKUP($G$8,$J$1:$K$2,2,0),$B$1:$C$4,2,0),O28+12*0.325*HLOOKUP(VLOOKUP($G$8,$J$1:$K$2,2,0),$B$1:$C$4,2,0)),0)</f>
        <v>81217.5</v>
      </c>
      <c r="P29" s="6" t="n">
        <f aca="false">IF($C29&gt;=(66+1/3),IF(P28=0,IF(DAY(MAX($G$1,$G$3))=1,12,11)*0.5*HLOOKUP(VLOOKUP($G$8,$J$1:$K$2,2,0),$B$1:$C$4,2,0),P28+12*0.5*HLOOKUP(VLOOKUP($G$8,$J$1:$K$2,2,0),$B$1:$C$4,2,0)),0)</f>
        <v>57750</v>
      </c>
      <c r="Q29" s="6"/>
      <c r="R29" s="6"/>
    </row>
    <row r="30" customFormat="false" ht="15" hidden="false" customHeight="false" outlineLevel="0" collapsed="false">
      <c r="A30" s="2" t="n">
        <f aca="false">A29+365.25</f>
        <v>50803.5</v>
      </c>
      <c r="B30" s="0" t="n">
        <f aca="false">B29+1</f>
        <v>82</v>
      </c>
      <c r="C30" s="0" t="n">
        <f aca="false">C29+1</f>
        <v>72.0862422997947</v>
      </c>
      <c r="D30" s="0" t="n">
        <f aca="false">IF(AND(R30&gt;Q30,R30&gt;O30),62,IF(Q30&gt;O30,"FRA",70))</f>
        <v>70</v>
      </c>
      <c r="G30" s="6" t="n">
        <f aca="false">G29+12*HLOOKUP(VLOOKUP($G$8,$J$1:$K$2,2,0),$B$1:$C$4,3,0)</f>
        <v>357500</v>
      </c>
      <c r="H30" s="6" t="n">
        <f aca="false">H29+HLOOKUP(VLOOKUP($G$8,$J$1:$K$2,2,0),$B$1:$C$4,2,0)*12</f>
        <v>392700</v>
      </c>
      <c r="I30" s="6" t="n">
        <f aca="false">I29+HLOOKUP(VLOOKUP($G$8,$J$1:$K$2,2,0),$B$1:$C$4,4,0)*12</f>
        <v>286800</v>
      </c>
      <c r="J30" s="6" t="n">
        <f aca="false">J29+12*0.325*HLOOKUP(VLOOKUP($L$8,$J$1:$K$2,2,0),$B$1:$C$4,2,0)</f>
        <v>201955</v>
      </c>
      <c r="K30" s="6" t="n">
        <f aca="false">K29+12*0.5*HLOOKUP(VLOOKUP($L$8,$J$1:$K$2,2,0),$B$1:$C$4,2,0)</f>
        <v>263900</v>
      </c>
      <c r="L30" s="6" t="n">
        <f aca="false">IF($C30&gt;=70.083,IF(L29=0,IF(DAY(MAX($G$1,$G$3))=1,12,11)*HLOOKUP(VLOOKUP($L$8,$J$1:$K$2,2,0),$B$1:$C$4,3,0),L29+12*HLOOKUP(VLOOKUP($L$8,$J$1:$K$2,2,0),$B$1:$C$4,3,0)),0)</f>
        <v>105000</v>
      </c>
      <c r="M30" s="6" t="n">
        <f aca="false">IF($C30&gt;=(66+1/3),IF(M29=0,IF(DAY(MAX($G$1,$G$3))=1,8,7)*HLOOKUP(VLOOKUP($L$8,$J$1:$K$2,2,0),$B$1:$C$4,2,0),M29+12*HLOOKUP(VLOOKUP($L$8,$J$1:$K$2,2,0),$B$1:$C$4,2,0)),0)</f>
        <v>174200</v>
      </c>
      <c r="N30" s="6" t="n">
        <f aca="false">IF($C30&gt;=62.083,IF(N29=0,IF(DAY(MAX($G$1,$G$3))=1,12,11)*HLOOKUP(VLOOKUP($L$8,$J$1:$K$2,2,0),$B$1:$C$4,4,0),N29+12*HLOOKUP(VLOOKUP($L$8,$J$1:$K$2,2,0),$B$1:$C$4,4,0)),0)</f>
        <v>222700</v>
      </c>
      <c r="O30" s="6" t="n">
        <f aca="false">IF($C30&gt;=62.083,IF(O29=0,IF(DAY(MAX($G$1,$G$3))=1,12,11)*0.325*HLOOKUP(VLOOKUP($G$8,$J$1:$K$2,2,0),$B$1:$C$4,2,0),O29+12*0.325*HLOOKUP(VLOOKUP($G$8,$J$1:$K$2,2,0),$B$1:$C$4,2,0)),0)</f>
        <v>89407.5</v>
      </c>
      <c r="P30" s="6" t="n">
        <f aca="false">IF($C30&gt;=(66+1/3),IF(P29=0,IF(DAY(MAX($G$1,$G$3))=1,12,11)*0.5*HLOOKUP(VLOOKUP($G$8,$J$1:$K$2,2,0),$B$1:$C$4,2,0),P29+12*0.5*HLOOKUP(VLOOKUP($G$8,$J$1:$K$2,2,0),$B$1:$C$4,2,0)),0)</f>
        <v>70350</v>
      </c>
      <c r="Q30" s="6"/>
      <c r="R30" s="6"/>
    </row>
    <row r="31" customFormat="false" ht="15" hidden="false" customHeight="false" outlineLevel="0" collapsed="false">
      <c r="A31" s="2" t="n">
        <f aca="false">A30+365.25</f>
        <v>51168.75</v>
      </c>
      <c r="B31" s="0" t="n">
        <f aca="false">B30+1</f>
        <v>83</v>
      </c>
      <c r="C31" s="0" t="n">
        <f aca="false">C30+1</f>
        <v>73.0862422997947</v>
      </c>
      <c r="D31" s="0" t="n">
        <f aca="false">IF(AND(R31&gt;Q31,R31&gt;O31),62,IF(Q31&gt;O31,"FRA",70))</f>
        <v>70</v>
      </c>
      <c r="G31" s="6" t="n">
        <f aca="false">G30+12*HLOOKUP(VLOOKUP($G$8,$J$1:$K$2,2,0),$B$1:$C$4,3,0)</f>
        <v>387500</v>
      </c>
      <c r="H31" s="6" t="n">
        <f aca="false">H30+HLOOKUP(VLOOKUP($G$8,$J$1:$K$2,2,0),$B$1:$C$4,2,0)*12</f>
        <v>417900</v>
      </c>
      <c r="I31" s="6" t="n">
        <f aca="false">I30+HLOOKUP(VLOOKUP($G$8,$J$1:$K$2,2,0),$B$1:$C$4,4,0)*12</f>
        <v>301200</v>
      </c>
      <c r="J31" s="6" t="n">
        <f aca="false">J30+12*0.325*HLOOKUP(VLOOKUP($L$8,$J$1:$K$2,2,0),$B$1:$C$4,2,0)</f>
        <v>212095</v>
      </c>
      <c r="K31" s="6" t="n">
        <f aca="false">K30+12*0.5*HLOOKUP(VLOOKUP($L$8,$J$1:$K$2,2,0),$B$1:$C$4,2,0)</f>
        <v>279500</v>
      </c>
      <c r="L31" s="6" t="n">
        <f aca="false">IF($C31&gt;=70.083,IF(L30=0,IF(DAY(MAX($G$1,$G$3))=1,12,11)*HLOOKUP(VLOOKUP($L$8,$J$1:$K$2,2,0),$B$1:$C$4,3,0),L30+12*HLOOKUP(VLOOKUP($L$8,$J$1:$K$2,2,0),$B$1:$C$4,3,0)),0)</f>
        <v>141000</v>
      </c>
      <c r="M31" s="6" t="n">
        <f aca="false">IF($C31&gt;=(66+1/3),IF(M30=0,IF(DAY(MAX($G$1,$G$3))=1,8,7)*HLOOKUP(VLOOKUP($L$8,$J$1:$K$2,2,0),$B$1:$C$4,2,0),M30+12*HLOOKUP(VLOOKUP($L$8,$J$1:$K$2,2,0),$B$1:$C$4,2,0)),0)</f>
        <v>205400</v>
      </c>
      <c r="N31" s="6" t="n">
        <f aca="false">IF($C31&gt;=62.083,IF(N30=0,IF(DAY(MAX($G$1,$G$3))=1,12,11)*HLOOKUP(VLOOKUP($L$8,$J$1:$K$2,2,0),$B$1:$C$4,4,0),N30+12*HLOOKUP(VLOOKUP($L$8,$J$1:$K$2,2,0),$B$1:$C$4,4,0)),0)</f>
        <v>243100</v>
      </c>
      <c r="O31" s="6" t="n">
        <f aca="false">IF($C31&gt;=62.083,IF(O30=0,IF(DAY(MAX($G$1,$G$3))=1,12,11)*0.325*HLOOKUP(VLOOKUP($G$8,$J$1:$K$2,2,0),$B$1:$C$4,2,0),O30+12*0.325*HLOOKUP(VLOOKUP($G$8,$J$1:$K$2,2,0),$B$1:$C$4,2,0)),0)</f>
        <v>97597.5</v>
      </c>
      <c r="P31" s="6" t="n">
        <f aca="false">IF($C31&gt;=(66+1/3),IF(P30=0,IF(DAY(MAX($G$1,$G$3))=1,12,11)*0.5*HLOOKUP(VLOOKUP($G$8,$J$1:$K$2,2,0),$B$1:$C$4,2,0),P30+12*0.5*HLOOKUP(VLOOKUP($G$8,$J$1:$K$2,2,0),$B$1:$C$4,2,0)),0)</f>
        <v>82950</v>
      </c>
      <c r="Q31" s="6"/>
      <c r="R31" s="6"/>
    </row>
    <row r="32" customFormat="false" ht="15" hidden="false" customHeight="false" outlineLevel="0" collapsed="false">
      <c r="A32" s="2" t="n">
        <f aca="false">A31+365.25</f>
        <v>51534</v>
      </c>
      <c r="B32" s="0" t="n">
        <f aca="false">B31+1</f>
        <v>84</v>
      </c>
      <c r="C32" s="0" t="n">
        <f aca="false">C31+1</f>
        <v>74.0862422997947</v>
      </c>
      <c r="D32" s="0" t="n">
        <f aca="false">IF(AND(R32&gt;Q32,R32&gt;O32),62,IF(Q32&gt;O32,"FRA",70))</f>
        <v>70</v>
      </c>
      <c r="G32" s="6" t="n">
        <f aca="false">G31+12*HLOOKUP(VLOOKUP($G$8,$J$1:$K$2,2,0),$B$1:$C$4,3,0)</f>
        <v>417500</v>
      </c>
      <c r="H32" s="6" t="n">
        <f aca="false">H31+HLOOKUP(VLOOKUP($G$8,$J$1:$K$2,2,0),$B$1:$C$4,2,0)*12</f>
        <v>443100</v>
      </c>
      <c r="I32" s="6" t="n">
        <f aca="false">I31+HLOOKUP(VLOOKUP($G$8,$J$1:$K$2,2,0),$B$1:$C$4,4,0)*12</f>
        <v>315600</v>
      </c>
      <c r="J32" s="6" t="n">
        <f aca="false">J31+12*0.325*HLOOKUP(VLOOKUP($L$8,$J$1:$K$2,2,0),$B$1:$C$4,2,0)</f>
        <v>222235</v>
      </c>
      <c r="K32" s="6" t="n">
        <f aca="false">K31+12*0.5*HLOOKUP(VLOOKUP($L$8,$J$1:$K$2,2,0),$B$1:$C$4,2,0)</f>
        <v>295100</v>
      </c>
      <c r="L32" s="6" t="n">
        <f aca="false">IF($C32&gt;=70.083,IF(L31=0,IF(DAY(MAX($G$1,$G$3))=1,12,11)*HLOOKUP(VLOOKUP($L$8,$J$1:$K$2,2,0),$B$1:$C$4,3,0),L31+12*HLOOKUP(VLOOKUP($L$8,$J$1:$K$2,2,0),$B$1:$C$4,3,0)),0)</f>
        <v>177000</v>
      </c>
      <c r="M32" s="6" t="n">
        <f aca="false">IF($C32&gt;=(66+1/3),IF(M31=0,IF(DAY(MAX($G$1,$G$3))=1,8,7)*HLOOKUP(VLOOKUP($L$8,$J$1:$K$2,2,0),$B$1:$C$4,2,0),M31+12*HLOOKUP(VLOOKUP($L$8,$J$1:$K$2,2,0),$B$1:$C$4,2,0)),0)</f>
        <v>236600</v>
      </c>
      <c r="N32" s="6" t="n">
        <f aca="false">IF($C32&gt;=62.083,IF(N31=0,IF(DAY(MAX($G$1,$G$3))=1,12,11)*HLOOKUP(VLOOKUP($L$8,$J$1:$K$2,2,0),$B$1:$C$4,4,0),N31+12*HLOOKUP(VLOOKUP($L$8,$J$1:$K$2,2,0),$B$1:$C$4,4,0)),0)</f>
        <v>263500</v>
      </c>
      <c r="O32" s="6" t="n">
        <f aca="false">IF($C32&gt;=62.083,IF(O31=0,IF(DAY(MAX($G$1,$G$3))=1,12,11)*0.325*HLOOKUP(VLOOKUP($G$8,$J$1:$K$2,2,0),$B$1:$C$4,2,0),O31+12*0.325*HLOOKUP(VLOOKUP($G$8,$J$1:$K$2,2,0),$B$1:$C$4,2,0)),0)</f>
        <v>105787.5</v>
      </c>
      <c r="P32" s="6" t="n">
        <f aca="false">IF($C32&gt;=(66+1/3),IF(P31=0,IF(DAY(MAX($G$1,$G$3))=1,12,11)*0.5*HLOOKUP(VLOOKUP($G$8,$J$1:$K$2,2,0),$B$1:$C$4,2,0),P31+12*0.5*HLOOKUP(VLOOKUP($G$8,$J$1:$K$2,2,0),$B$1:$C$4,2,0)),0)</f>
        <v>95550</v>
      </c>
      <c r="Q32" s="6"/>
      <c r="R32" s="6"/>
    </row>
    <row r="33" customFormat="false" ht="15" hidden="false" customHeight="false" outlineLevel="0" collapsed="false">
      <c r="A33" s="2" t="n">
        <f aca="false">A32+365.25</f>
        <v>51899.25</v>
      </c>
      <c r="B33" s="0" t="n">
        <f aca="false">B32+1</f>
        <v>85</v>
      </c>
      <c r="C33" s="0" t="n">
        <f aca="false">C32+1</f>
        <v>75.0862422997947</v>
      </c>
      <c r="D33" s="0" t="n">
        <f aca="false">IF(AND(R33&gt;Q33,R33&gt;O33),62,IF(Q33&gt;O33,"FRA",70))</f>
        <v>70</v>
      </c>
      <c r="G33" s="6" t="n">
        <f aca="false">G32+12*HLOOKUP(VLOOKUP($G$8,$J$1:$K$2,2,0),$B$1:$C$4,3,0)</f>
        <v>447500</v>
      </c>
      <c r="H33" s="6" t="n">
        <f aca="false">H32+HLOOKUP(VLOOKUP($G$8,$J$1:$K$2,2,0),$B$1:$C$4,2,0)*12</f>
        <v>468300</v>
      </c>
      <c r="I33" s="6" t="n">
        <f aca="false">I32+HLOOKUP(VLOOKUP($G$8,$J$1:$K$2,2,0),$B$1:$C$4,4,0)*12</f>
        <v>330000</v>
      </c>
      <c r="J33" s="6" t="n">
        <f aca="false">J32+12*0.325*HLOOKUP(VLOOKUP($L$8,$J$1:$K$2,2,0),$B$1:$C$4,2,0)</f>
        <v>232375</v>
      </c>
      <c r="K33" s="6" t="n">
        <f aca="false">K32+12*0.5*HLOOKUP(VLOOKUP($L$8,$J$1:$K$2,2,0),$B$1:$C$4,2,0)</f>
        <v>310700</v>
      </c>
      <c r="L33" s="6" t="n">
        <f aca="false">IF($C33&gt;=70.083,IF(L32=0,IF(DAY(MAX($G$1,$G$3))=1,12,11)*HLOOKUP(VLOOKUP($L$8,$J$1:$K$2,2,0),$B$1:$C$4,3,0),L32+12*HLOOKUP(VLOOKUP($L$8,$J$1:$K$2,2,0),$B$1:$C$4,3,0)),0)</f>
        <v>213000</v>
      </c>
      <c r="M33" s="6" t="n">
        <f aca="false">IF($C33&gt;=(66+1/3),IF(M32=0,IF(DAY(MAX($G$1,$G$3))=1,8,7)*HLOOKUP(VLOOKUP($L$8,$J$1:$K$2,2,0),$B$1:$C$4,2,0),M32+12*HLOOKUP(VLOOKUP($L$8,$J$1:$K$2,2,0),$B$1:$C$4,2,0)),0)</f>
        <v>267800</v>
      </c>
      <c r="N33" s="6" t="n">
        <f aca="false">IF($C33&gt;=62.083,IF(N32=0,IF(DAY(MAX($G$1,$G$3))=1,12,11)*HLOOKUP(VLOOKUP($L$8,$J$1:$K$2,2,0),$B$1:$C$4,4,0),N32+12*HLOOKUP(VLOOKUP($L$8,$J$1:$K$2,2,0),$B$1:$C$4,4,0)),0)</f>
        <v>283900</v>
      </c>
      <c r="O33" s="6" t="n">
        <f aca="false">IF($C33&gt;=62.083,IF(O32=0,IF(DAY(MAX($G$1,$G$3))=1,12,11)*0.325*HLOOKUP(VLOOKUP($G$8,$J$1:$K$2,2,0),$B$1:$C$4,2,0),O32+12*0.325*HLOOKUP(VLOOKUP($G$8,$J$1:$K$2,2,0),$B$1:$C$4,2,0)),0)</f>
        <v>113977.5</v>
      </c>
      <c r="P33" s="6" t="n">
        <f aca="false">IF($C33&gt;=(66+1/3),IF(P32=0,IF(DAY(MAX($G$1,$G$3))=1,12,11)*0.5*HLOOKUP(VLOOKUP($G$8,$J$1:$K$2,2,0),$B$1:$C$4,2,0),P32+12*0.5*HLOOKUP(VLOOKUP($G$8,$J$1:$K$2,2,0),$B$1:$C$4,2,0)),0)</f>
        <v>108150</v>
      </c>
      <c r="Q33" s="6"/>
      <c r="R33" s="6"/>
    </row>
    <row r="34" customFormat="false" ht="15" hidden="false" customHeight="false" outlineLevel="0" collapsed="false">
      <c r="A34" s="2" t="n">
        <f aca="false">A33+365.25</f>
        <v>52264.5</v>
      </c>
      <c r="B34" s="0" t="n">
        <f aca="false">B33+1</f>
        <v>86</v>
      </c>
      <c r="C34" s="0" t="n">
        <f aca="false">C33+1</f>
        <v>76.0862422997947</v>
      </c>
      <c r="D34" s="0" t="n">
        <f aca="false">IF(AND(R34&gt;Q34,R34&gt;O34),62,IF(Q34&gt;O34,"FRA",70))</f>
        <v>70</v>
      </c>
      <c r="G34" s="6" t="n">
        <f aca="false">G33+12*HLOOKUP(VLOOKUP($G$8,$J$1:$K$2,2,0),$B$1:$C$4,3,0)</f>
        <v>477500</v>
      </c>
      <c r="H34" s="6" t="n">
        <f aca="false">H33+HLOOKUP(VLOOKUP($G$8,$J$1:$K$2,2,0),$B$1:$C$4,2,0)*12</f>
        <v>493500</v>
      </c>
      <c r="I34" s="6" t="n">
        <f aca="false">I33+HLOOKUP(VLOOKUP($G$8,$J$1:$K$2,2,0),$B$1:$C$4,4,0)*12</f>
        <v>344400</v>
      </c>
      <c r="J34" s="6" t="n">
        <f aca="false">J33+12*0.325*HLOOKUP(VLOOKUP($L$8,$J$1:$K$2,2,0),$B$1:$C$4,2,0)</f>
        <v>242515</v>
      </c>
      <c r="K34" s="6" t="n">
        <f aca="false">K33+12*0.5*HLOOKUP(VLOOKUP($L$8,$J$1:$K$2,2,0),$B$1:$C$4,2,0)</f>
        <v>326300</v>
      </c>
      <c r="L34" s="6" t="n">
        <f aca="false">IF($C34&gt;=70.083,IF(L33=0,IF(DAY(MAX($G$1,$G$3))=1,12,11)*HLOOKUP(VLOOKUP($L$8,$J$1:$K$2,2,0),$B$1:$C$4,3,0),L33+12*HLOOKUP(VLOOKUP($L$8,$J$1:$K$2,2,0),$B$1:$C$4,3,0)),0)</f>
        <v>249000</v>
      </c>
      <c r="M34" s="6" t="n">
        <f aca="false">IF($C34&gt;=(66+1/3),IF(M33=0,IF(DAY(MAX($G$1,$G$3))=1,8,7)*HLOOKUP(VLOOKUP($L$8,$J$1:$K$2,2,0),$B$1:$C$4,2,0),M33+12*HLOOKUP(VLOOKUP($L$8,$J$1:$K$2,2,0),$B$1:$C$4,2,0)),0)</f>
        <v>299000</v>
      </c>
      <c r="N34" s="6" t="n">
        <f aca="false">IF($C34&gt;=62.083,IF(N33=0,IF(DAY(MAX($G$1,$G$3))=1,12,11)*HLOOKUP(VLOOKUP($L$8,$J$1:$K$2,2,0),$B$1:$C$4,4,0),N33+12*HLOOKUP(VLOOKUP($L$8,$J$1:$K$2,2,0),$B$1:$C$4,4,0)),0)</f>
        <v>304300</v>
      </c>
      <c r="O34" s="6" t="n">
        <f aca="false">IF($C34&gt;=62.083,IF(O33=0,IF(DAY(MAX($G$1,$G$3))=1,12,11)*0.325*HLOOKUP(VLOOKUP($G$8,$J$1:$K$2,2,0),$B$1:$C$4,2,0),O33+12*0.325*HLOOKUP(VLOOKUP($G$8,$J$1:$K$2,2,0),$B$1:$C$4,2,0)),0)</f>
        <v>122167.5</v>
      </c>
      <c r="P34" s="6" t="n">
        <f aca="false">IF($C34&gt;=(66+1/3),IF(P33=0,IF(DAY(MAX($G$1,$G$3))=1,12,11)*0.5*HLOOKUP(VLOOKUP($G$8,$J$1:$K$2,2,0),$B$1:$C$4,2,0),P33+12*0.5*HLOOKUP(VLOOKUP($G$8,$J$1:$K$2,2,0),$B$1:$C$4,2,0)),0)</f>
        <v>120750</v>
      </c>
      <c r="Q34" s="6"/>
      <c r="R34" s="6"/>
    </row>
    <row r="35" customFormat="false" ht="15" hidden="false" customHeight="false" outlineLevel="0" collapsed="false">
      <c r="A35" s="2" t="n">
        <f aca="false">A34+365.25</f>
        <v>52629.75</v>
      </c>
      <c r="B35" s="0" t="n">
        <f aca="false">B34+1</f>
        <v>87</v>
      </c>
      <c r="C35" s="0" t="n">
        <f aca="false">C34+1</f>
        <v>77.0862422997947</v>
      </c>
      <c r="D35" s="0" t="n">
        <f aca="false">IF(AND(R35&gt;Q35,R35&gt;O35),62,IF(Q35&gt;O35,"FRA",70))</f>
        <v>70</v>
      </c>
      <c r="G35" s="6" t="n">
        <f aca="false">G34+12*HLOOKUP(VLOOKUP($G$8,$J$1:$K$2,2,0),$B$1:$C$4,3,0)</f>
        <v>507500</v>
      </c>
      <c r="H35" s="6" t="n">
        <f aca="false">H34+HLOOKUP(VLOOKUP($G$8,$J$1:$K$2,2,0),$B$1:$C$4,2,0)*12</f>
        <v>518700</v>
      </c>
      <c r="I35" s="6" t="n">
        <f aca="false">I34+HLOOKUP(VLOOKUP($G$8,$J$1:$K$2,2,0),$B$1:$C$4,4,0)*12</f>
        <v>358800</v>
      </c>
      <c r="J35" s="6" t="n">
        <f aca="false">J34+12*0.325*HLOOKUP(VLOOKUP($L$8,$J$1:$K$2,2,0),$B$1:$C$4,2,0)</f>
        <v>252655</v>
      </c>
      <c r="K35" s="6" t="n">
        <f aca="false">K34+12*0.5*HLOOKUP(VLOOKUP($L$8,$J$1:$K$2,2,0),$B$1:$C$4,2,0)</f>
        <v>341900</v>
      </c>
      <c r="L35" s="6" t="n">
        <f aca="false">IF($C35&gt;=70.083,IF(L34=0,IF(DAY(MAX($G$1,$G$3))=1,12,11)*HLOOKUP(VLOOKUP($L$8,$J$1:$K$2,2,0),$B$1:$C$4,3,0),L34+12*HLOOKUP(VLOOKUP($L$8,$J$1:$K$2,2,0),$B$1:$C$4,3,0)),0)</f>
        <v>285000</v>
      </c>
      <c r="M35" s="6" t="n">
        <f aca="false">IF($C35&gt;=(66+1/3),IF(M34=0,IF(DAY(MAX($G$1,$G$3))=1,8,7)*HLOOKUP(VLOOKUP($L$8,$J$1:$K$2,2,0),$B$1:$C$4,2,0),M34+12*HLOOKUP(VLOOKUP($L$8,$J$1:$K$2,2,0),$B$1:$C$4,2,0)),0)</f>
        <v>330200</v>
      </c>
      <c r="N35" s="6" t="n">
        <f aca="false">IF($C35&gt;=62.083,IF(N34=0,IF(DAY(MAX($G$1,$G$3))=1,12,11)*HLOOKUP(VLOOKUP($L$8,$J$1:$K$2,2,0),$B$1:$C$4,4,0),N34+12*HLOOKUP(VLOOKUP($L$8,$J$1:$K$2,2,0),$B$1:$C$4,4,0)),0)</f>
        <v>324700</v>
      </c>
      <c r="O35" s="6" t="n">
        <f aca="false">IF($C35&gt;=62.083,IF(O34=0,IF(DAY(MAX($G$1,$G$3))=1,12,11)*0.325*HLOOKUP(VLOOKUP($G$8,$J$1:$K$2,2,0),$B$1:$C$4,2,0),O34+12*0.325*HLOOKUP(VLOOKUP($G$8,$J$1:$K$2,2,0),$B$1:$C$4,2,0)),0)</f>
        <v>130357.5</v>
      </c>
      <c r="P35" s="6" t="n">
        <f aca="false">IF($C35&gt;=(66+1/3),IF(P34=0,IF(DAY(MAX($G$1,$G$3))=1,12,11)*0.5*HLOOKUP(VLOOKUP($G$8,$J$1:$K$2,2,0),$B$1:$C$4,2,0),P34+12*0.5*HLOOKUP(VLOOKUP($G$8,$J$1:$K$2,2,0),$B$1:$C$4,2,0)),0)</f>
        <v>133350</v>
      </c>
      <c r="Q35" s="6"/>
      <c r="R35" s="6"/>
    </row>
    <row r="36" customFormat="false" ht="15" hidden="false" customHeight="false" outlineLevel="0" collapsed="false">
      <c r="A36" s="2" t="n">
        <f aca="false">A35+365.25</f>
        <v>52995</v>
      </c>
      <c r="B36" s="0" t="n">
        <f aca="false">B35+1</f>
        <v>88</v>
      </c>
      <c r="C36" s="0" t="n">
        <f aca="false">C35+1</f>
        <v>78.0862422997947</v>
      </c>
      <c r="D36" s="0" t="n">
        <f aca="false">IF(AND(R36&gt;Q36,R36&gt;O36),62,IF(Q36&gt;O36,"FRA",70))</f>
        <v>70</v>
      </c>
      <c r="G36" s="6" t="n">
        <f aca="false">G35+12*HLOOKUP(VLOOKUP($G$8,$J$1:$K$2,2,0),$B$1:$C$4,3,0)</f>
        <v>537500</v>
      </c>
      <c r="H36" s="6" t="n">
        <f aca="false">H35+HLOOKUP(VLOOKUP($G$8,$J$1:$K$2,2,0),$B$1:$C$4,2,0)*12</f>
        <v>543900</v>
      </c>
      <c r="I36" s="6" t="n">
        <f aca="false">I35+HLOOKUP(VLOOKUP($G$8,$J$1:$K$2,2,0),$B$1:$C$4,4,0)*12</f>
        <v>373200</v>
      </c>
      <c r="J36" s="6" t="n">
        <f aca="false">J35+12*0.325*HLOOKUP(VLOOKUP($L$8,$J$1:$K$2,2,0),$B$1:$C$4,2,0)</f>
        <v>262795</v>
      </c>
      <c r="K36" s="6" t="n">
        <f aca="false">K35+12*0.5*HLOOKUP(VLOOKUP($L$8,$J$1:$K$2,2,0),$B$1:$C$4,2,0)</f>
        <v>357500</v>
      </c>
      <c r="L36" s="6" t="n">
        <f aca="false">IF($C36&gt;=70.083,IF(L35=0,IF(DAY(MAX($G$1,$G$3))=1,12,11)*HLOOKUP(VLOOKUP($L$8,$J$1:$K$2,2,0),$B$1:$C$4,3,0),L35+12*HLOOKUP(VLOOKUP($L$8,$J$1:$K$2,2,0),$B$1:$C$4,3,0)),0)</f>
        <v>321000</v>
      </c>
      <c r="M36" s="6" t="n">
        <f aca="false">IF($C36&gt;=(66+1/3),IF(M35=0,IF(DAY(MAX($G$1,$G$3))=1,8,7)*HLOOKUP(VLOOKUP($L$8,$J$1:$K$2,2,0),$B$1:$C$4,2,0),M35+12*HLOOKUP(VLOOKUP($L$8,$J$1:$K$2,2,0),$B$1:$C$4,2,0)),0)</f>
        <v>361400</v>
      </c>
      <c r="N36" s="6" t="n">
        <f aca="false">IF($C36&gt;=62.083,IF(N35=0,IF(DAY(MAX($G$1,$G$3))=1,12,11)*HLOOKUP(VLOOKUP($L$8,$J$1:$K$2,2,0),$B$1:$C$4,4,0),N35+12*HLOOKUP(VLOOKUP($L$8,$J$1:$K$2,2,0),$B$1:$C$4,4,0)),0)</f>
        <v>345100</v>
      </c>
      <c r="O36" s="6" t="n">
        <f aca="false">IF($C36&gt;=62.083,IF(O35=0,IF(DAY(MAX($G$1,$G$3))=1,12,11)*0.325*HLOOKUP(VLOOKUP($G$8,$J$1:$K$2,2,0),$B$1:$C$4,2,0),O35+12*0.325*HLOOKUP(VLOOKUP($G$8,$J$1:$K$2,2,0),$B$1:$C$4,2,0)),0)</f>
        <v>138547.5</v>
      </c>
      <c r="P36" s="6" t="n">
        <f aca="false">IF($C36&gt;=(66+1/3),IF(P35=0,IF(DAY(MAX($G$1,$G$3))=1,12,11)*0.5*HLOOKUP(VLOOKUP($G$8,$J$1:$K$2,2,0),$B$1:$C$4,2,0),P35+12*0.5*HLOOKUP(VLOOKUP($G$8,$J$1:$K$2,2,0),$B$1:$C$4,2,0)),0)</f>
        <v>145950</v>
      </c>
      <c r="Q36" s="6"/>
      <c r="R36" s="6"/>
    </row>
    <row r="37" customFormat="false" ht="15" hidden="false" customHeight="false" outlineLevel="0" collapsed="false">
      <c r="A37" s="2" t="n">
        <f aca="false">A36+365.25</f>
        <v>53360.25</v>
      </c>
      <c r="B37" s="0" t="n">
        <f aca="false">B36+1</f>
        <v>89</v>
      </c>
      <c r="C37" s="0" t="n">
        <f aca="false">C36+1</f>
        <v>79.0862422997947</v>
      </c>
      <c r="D37" s="0" t="n">
        <f aca="false">IF(AND(R37&gt;Q37,R37&gt;O37),62,IF(Q37&gt;O37,"FRA",70))</f>
        <v>70</v>
      </c>
      <c r="G37" s="6" t="n">
        <f aca="false">G36+12*HLOOKUP(VLOOKUP($G$8,$J$1:$K$2,2,0),$B$1:$C$4,3,0)</f>
        <v>567500</v>
      </c>
      <c r="H37" s="6" t="n">
        <f aca="false">H36+HLOOKUP(VLOOKUP($G$8,$J$1:$K$2,2,0),$B$1:$C$4,2,0)*12</f>
        <v>569100</v>
      </c>
      <c r="I37" s="6" t="n">
        <f aca="false">I36+HLOOKUP(VLOOKUP($G$8,$J$1:$K$2,2,0),$B$1:$C$4,4,0)*12</f>
        <v>387600</v>
      </c>
      <c r="J37" s="6" t="n">
        <f aca="false">J36+12*0.325*HLOOKUP(VLOOKUP($L$8,$J$1:$K$2,2,0),$B$1:$C$4,2,0)</f>
        <v>272935</v>
      </c>
      <c r="K37" s="6" t="n">
        <f aca="false">K36+12*0.5*HLOOKUP(VLOOKUP($L$8,$J$1:$K$2,2,0),$B$1:$C$4,2,0)</f>
        <v>373100</v>
      </c>
      <c r="L37" s="6" t="n">
        <f aca="false">IF($C37&gt;=70.083,IF(L36=0,IF(DAY(MAX($G$1,$G$3))=1,12,11)*HLOOKUP(VLOOKUP($L$8,$J$1:$K$2,2,0),$B$1:$C$4,3,0),L36+12*HLOOKUP(VLOOKUP($L$8,$J$1:$K$2,2,0),$B$1:$C$4,3,0)),0)</f>
        <v>357000</v>
      </c>
      <c r="M37" s="6" t="n">
        <f aca="false">IF($C37&gt;=(66+1/3),IF(M36=0,IF(DAY(MAX($G$1,$G$3))=1,8,7)*HLOOKUP(VLOOKUP($L$8,$J$1:$K$2,2,0),$B$1:$C$4,2,0),M36+12*HLOOKUP(VLOOKUP($L$8,$J$1:$K$2,2,0),$B$1:$C$4,2,0)),0)</f>
        <v>392600</v>
      </c>
      <c r="N37" s="6" t="n">
        <f aca="false">IF($C37&gt;=62.083,IF(N36=0,IF(DAY(MAX($G$1,$G$3))=1,12,11)*HLOOKUP(VLOOKUP($L$8,$J$1:$K$2,2,0),$B$1:$C$4,4,0),N36+12*HLOOKUP(VLOOKUP($L$8,$J$1:$K$2,2,0),$B$1:$C$4,4,0)),0)</f>
        <v>365500</v>
      </c>
      <c r="O37" s="6" t="n">
        <f aca="false">IF($C37&gt;=62.083,IF(O36=0,IF(DAY(MAX($G$1,$G$3))=1,12,11)*0.325*HLOOKUP(VLOOKUP($G$8,$J$1:$K$2,2,0),$B$1:$C$4,2,0),O36+12*0.325*HLOOKUP(VLOOKUP($G$8,$J$1:$K$2,2,0),$B$1:$C$4,2,0)),0)</f>
        <v>146737.5</v>
      </c>
      <c r="P37" s="6" t="n">
        <f aca="false">IF($C37&gt;=(66+1/3),IF(P36=0,IF(DAY(MAX($G$1,$G$3))=1,12,11)*0.5*HLOOKUP(VLOOKUP($G$8,$J$1:$K$2,2,0),$B$1:$C$4,2,0),P36+12*0.5*HLOOKUP(VLOOKUP($G$8,$J$1:$K$2,2,0),$B$1:$C$4,2,0)),0)</f>
        <v>158550</v>
      </c>
      <c r="Q37" s="6"/>
      <c r="R37" s="6"/>
    </row>
    <row r="38" customFormat="false" ht="15" hidden="false" customHeight="false" outlineLevel="0" collapsed="false">
      <c r="A38" s="2" t="n">
        <f aca="false">A37+365.25</f>
        <v>53725.5</v>
      </c>
      <c r="B38" s="0" t="n">
        <f aca="false">B37+1</f>
        <v>90</v>
      </c>
      <c r="C38" s="0" t="n">
        <f aca="false">C37+1</f>
        <v>80.0862422997947</v>
      </c>
      <c r="D38" s="0" t="n">
        <f aca="false">IF(AND(R38&gt;Q38,R38&gt;O38),62,IF(Q38&gt;O38,"FRA",70))</f>
        <v>70</v>
      </c>
      <c r="G38" s="6" t="n">
        <f aca="false">G37+12*HLOOKUP(VLOOKUP($G$8,$J$1:$K$2,2,0),$B$1:$C$4,3,0)</f>
        <v>597500</v>
      </c>
      <c r="H38" s="6" t="n">
        <f aca="false">H37+HLOOKUP(VLOOKUP($G$8,$J$1:$K$2,2,0),$B$1:$C$4,2,0)*12</f>
        <v>594300</v>
      </c>
      <c r="I38" s="6" t="n">
        <f aca="false">I37+HLOOKUP(VLOOKUP($G$8,$J$1:$K$2,2,0),$B$1:$C$4,4,0)*12</f>
        <v>402000</v>
      </c>
      <c r="J38" s="6" t="n">
        <f aca="false">J37+12*0.325*HLOOKUP(VLOOKUP($L$8,$J$1:$K$2,2,0),$B$1:$C$4,2,0)</f>
        <v>283075</v>
      </c>
      <c r="K38" s="6" t="n">
        <f aca="false">K37+12*0.5*HLOOKUP(VLOOKUP($L$8,$J$1:$K$2,2,0),$B$1:$C$4,2,0)</f>
        <v>388700</v>
      </c>
      <c r="L38" s="6" t="n">
        <f aca="false">IF($C38&gt;=70.083,IF(L37=0,IF(DAY(MAX($G$1,$G$3))=1,12,11)*HLOOKUP(VLOOKUP($L$8,$J$1:$K$2,2,0),$B$1:$C$4,3,0),L37+12*HLOOKUP(VLOOKUP($L$8,$J$1:$K$2,2,0),$B$1:$C$4,3,0)),0)</f>
        <v>393000</v>
      </c>
      <c r="M38" s="6" t="n">
        <f aca="false">IF($C38&gt;=(66+1/3),IF(M37=0,IF(DAY(MAX($G$1,$G$3))=1,8,7)*HLOOKUP(VLOOKUP($L$8,$J$1:$K$2,2,0),$B$1:$C$4,2,0),M37+12*HLOOKUP(VLOOKUP($L$8,$J$1:$K$2,2,0),$B$1:$C$4,2,0)),0)</f>
        <v>423800</v>
      </c>
      <c r="N38" s="6" t="n">
        <f aca="false">IF($C38&gt;=62.083,IF(N37=0,IF(DAY(MAX($G$1,$G$3))=1,12,11)*HLOOKUP(VLOOKUP($L$8,$J$1:$K$2,2,0),$B$1:$C$4,4,0),N37+12*HLOOKUP(VLOOKUP($L$8,$J$1:$K$2,2,0),$B$1:$C$4,4,0)),0)</f>
        <v>385900</v>
      </c>
      <c r="O38" s="6" t="n">
        <f aca="false">IF($C38&gt;=62.083,IF(O37=0,IF(DAY(MAX($G$1,$G$3))=1,12,11)*0.325*HLOOKUP(VLOOKUP($G$8,$J$1:$K$2,2,0),$B$1:$C$4,2,0),O37+12*0.325*HLOOKUP(VLOOKUP($G$8,$J$1:$K$2,2,0),$B$1:$C$4,2,0)),0)</f>
        <v>154927.5</v>
      </c>
      <c r="P38" s="6" t="n">
        <f aca="false">IF($C38&gt;=(66+1/3),IF(P37=0,IF(DAY(MAX($G$1,$G$3))=1,12,11)*0.5*HLOOKUP(VLOOKUP($G$8,$J$1:$K$2,2,0),$B$1:$C$4,2,0),P37+12*0.5*HLOOKUP(VLOOKUP($G$8,$J$1:$K$2,2,0),$B$1:$C$4,2,0)),0)</f>
        <v>171150</v>
      </c>
      <c r="Q38" s="6"/>
      <c r="R38" s="6"/>
    </row>
    <row r="39" customFormat="false" ht="15" hidden="false" customHeight="false" outlineLevel="0" collapsed="false">
      <c r="A39" s="2" t="n">
        <f aca="false">A38+365.25</f>
        <v>54090.75</v>
      </c>
      <c r="B39" s="0" t="n">
        <f aca="false">B38+1</f>
        <v>91</v>
      </c>
      <c r="C39" s="0" t="n">
        <f aca="false">C38+1</f>
        <v>81.0862422997947</v>
      </c>
      <c r="D39" s="0" t="n">
        <f aca="false">IF(AND(R39&gt;Q39,R39&gt;O39),62,IF(Q39&gt;O39,"FRA",70))</f>
        <v>70</v>
      </c>
      <c r="G39" s="6" t="n">
        <f aca="false">G38+12*HLOOKUP(VLOOKUP($G$8,$J$1:$K$2,2,0),$B$1:$C$4,3,0)</f>
        <v>627500</v>
      </c>
      <c r="H39" s="6" t="n">
        <f aca="false">H38+HLOOKUP(VLOOKUP($G$8,$J$1:$K$2,2,0),$B$1:$C$4,2,0)*12</f>
        <v>619500</v>
      </c>
      <c r="I39" s="6" t="n">
        <f aca="false">I38+HLOOKUP(VLOOKUP($G$8,$J$1:$K$2,2,0),$B$1:$C$4,4,0)*12</f>
        <v>416400</v>
      </c>
      <c r="J39" s="6" t="n">
        <f aca="false">J38+12*0.325*HLOOKUP(VLOOKUP($L$8,$J$1:$K$2,2,0),$B$1:$C$4,2,0)</f>
        <v>293215</v>
      </c>
      <c r="K39" s="6" t="n">
        <f aca="false">K38+12*0.5*HLOOKUP(VLOOKUP($L$8,$J$1:$K$2,2,0),$B$1:$C$4,2,0)</f>
        <v>404300</v>
      </c>
      <c r="L39" s="6" t="n">
        <f aca="false">IF($C39&gt;=70.083,IF(L38=0,IF(DAY(MAX($G$1,$G$3))=1,12,11)*HLOOKUP(VLOOKUP($L$8,$J$1:$K$2,2,0),$B$1:$C$4,3,0),L38+12*HLOOKUP(VLOOKUP($L$8,$J$1:$K$2,2,0),$B$1:$C$4,3,0)),0)</f>
        <v>429000</v>
      </c>
      <c r="M39" s="6" t="n">
        <f aca="false">IF($C39&gt;=(66+1/3),IF(M38=0,IF(DAY(MAX($G$1,$G$3))=1,8,7)*HLOOKUP(VLOOKUP($L$8,$J$1:$K$2,2,0),$B$1:$C$4,2,0),M38+12*HLOOKUP(VLOOKUP($L$8,$J$1:$K$2,2,0),$B$1:$C$4,2,0)),0)</f>
        <v>455000</v>
      </c>
      <c r="N39" s="6" t="n">
        <f aca="false">IF($C39&gt;=62.083,IF(N38=0,IF(DAY(MAX($G$1,$G$3))=1,12,11)*HLOOKUP(VLOOKUP($L$8,$J$1:$K$2,2,0),$B$1:$C$4,4,0),N38+12*HLOOKUP(VLOOKUP($L$8,$J$1:$K$2,2,0),$B$1:$C$4,4,0)),0)</f>
        <v>406300</v>
      </c>
      <c r="O39" s="6" t="n">
        <f aca="false">IF($C39&gt;=62.083,IF(O38=0,IF(DAY(MAX($G$1,$G$3))=1,12,11)*0.325*HLOOKUP(VLOOKUP($G$8,$J$1:$K$2,2,0),$B$1:$C$4,2,0),O38+12*0.325*HLOOKUP(VLOOKUP($G$8,$J$1:$K$2,2,0),$B$1:$C$4,2,0)),0)</f>
        <v>163117.5</v>
      </c>
      <c r="P39" s="6" t="n">
        <f aca="false">IF($C39&gt;=(66+1/3),IF(P38=0,IF(DAY(MAX($G$1,$G$3))=1,12,11)*0.5*HLOOKUP(VLOOKUP($G$8,$J$1:$K$2,2,0),$B$1:$C$4,2,0),P38+12*0.5*HLOOKUP(VLOOKUP($G$8,$J$1:$K$2,2,0),$B$1:$C$4,2,0)),0)</f>
        <v>183750</v>
      </c>
      <c r="Q39" s="6"/>
      <c r="R39" s="6"/>
    </row>
    <row r="40" customFormat="false" ht="15" hidden="false" customHeight="false" outlineLevel="0" collapsed="false">
      <c r="A40" s="2" t="n">
        <f aca="false">A39+365.25</f>
        <v>54456</v>
      </c>
      <c r="B40" s="0" t="n">
        <f aca="false">B39+1</f>
        <v>92</v>
      </c>
      <c r="C40" s="0" t="n">
        <f aca="false">C39+1</f>
        <v>82.0862422997947</v>
      </c>
      <c r="D40" s="0" t="n">
        <f aca="false">IF(AND(R40&gt;Q40,R40&gt;O40),62,IF(Q40&gt;O40,"FRA",70))</f>
        <v>70</v>
      </c>
      <c r="G40" s="6" t="n">
        <f aca="false">G39+12*HLOOKUP(VLOOKUP($G$8,$J$1:$K$2,2,0),$B$1:$C$4,3,0)</f>
        <v>657500</v>
      </c>
      <c r="H40" s="6" t="n">
        <f aca="false">H39+HLOOKUP(VLOOKUP($G$8,$J$1:$K$2,2,0),$B$1:$C$4,2,0)*12</f>
        <v>644700</v>
      </c>
      <c r="I40" s="6" t="n">
        <f aca="false">I39+HLOOKUP(VLOOKUP($G$8,$J$1:$K$2,2,0),$B$1:$C$4,4,0)*12</f>
        <v>430800</v>
      </c>
      <c r="J40" s="6" t="n">
        <f aca="false">J39+12*0.325*HLOOKUP(VLOOKUP($L$8,$J$1:$K$2,2,0),$B$1:$C$4,2,0)</f>
        <v>303355</v>
      </c>
      <c r="K40" s="6" t="n">
        <f aca="false">K39+12*0.5*HLOOKUP(VLOOKUP($L$8,$J$1:$K$2,2,0),$B$1:$C$4,2,0)</f>
        <v>419900</v>
      </c>
      <c r="L40" s="6" t="n">
        <f aca="false">IF($C40&gt;=70.083,IF(L39=0,IF(DAY(MAX($G$1,$G$3))=1,12,11)*HLOOKUP(VLOOKUP($L$8,$J$1:$K$2,2,0),$B$1:$C$4,3,0),L39+12*HLOOKUP(VLOOKUP($L$8,$J$1:$K$2,2,0),$B$1:$C$4,3,0)),0)</f>
        <v>465000</v>
      </c>
      <c r="M40" s="6" t="n">
        <f aca="false">IF($C40&gt;=(66+1/3),IF(M39=0,IF(DAY(MAX($G$1,$G$3))=1,8,7)*HLOOKUP(VLOOKUP($L$8,$J$1:$K$2,2,0),$B$1:$C$4,2,0),M39+12*HLOOKUP(VLOOKUP($L$8,$J$1:$K$2,2,0),$B$1:$C$4,2,0)),0)</f>
        <v>486200</v>
      </c>
      <c r="N40" s="6" t="n">
        <f aca="false">IF($C40&gt;=62.083,IF(N39=0,IF(DAY(MAX($G$1,$G$3))=1,12,11)*HLOOKUP(VLOOKUP($L$8,$J$1:$K$2,2,0),$B$1:$C$4,4,0),N39+12*HLOOKUP(VLOOKUP($L$8,$J$1:$K$2,2,0),$B$1:$C$4,4,0)),0)</f>
        <v>426700</v>
      </c>
      <c r="O40" s="6" t="n">
        <f aca="false">IF($C40&gt;=62.083,IF(O39=0,IF(DAY(MAX($G$1,$G$3))=1,12,11)*0.325*HLOOKUP(VLOOKUP($G$8,$J$1:$K$2,2,0),$B$1:$C$4,2,0),O39+12*0.325*HLOOKUP(VLOOKUP($G$8,$J$1:$K$2,2,0),$B$1:$C$4,2,0)),0)</f>
        <v>171307.5</v>
      </c>
      <c r="P40" s="6" t="n">
        <f aca="false">IF($C40&gt;=(66+1/3),IF(P39=0,IF(DAY(MAX($G$1,$G$3))=1,12,11)*0.5*HLOOKUP(VLOOKUP($G$8,$J$1:$K$2,2,0),$B$1:$C$4,2,0),P39+12*0.5*HLOOKUP(VLOOKUP($G$8,$J$1:$K$2,2,0),$B$1:$C$4,2,0)),0)</f>
        <v>196350</v>
      </c>
      <c r="Q40" s="6"/>
      <c r="R40" s="6"/>
    </row>
    <row r="41" customFormat="false" ht="15" hidden="false" customHeight="false" outlineLevel="0" collapsed="false">
      <c r="A41" s="2" t="n">
        <f aca="false">A40+365.25</f>
        <v>54821.25</v>
      </c>
      <c r="B41" s="0" t="n">
        <f aca="false">B40+1</f>
        <v>93</v>
      </c>
      <c r="C41" s="0" t="n">
        <f aca="false">C40+1</f>
        <v>83.0862422997947</v>
      </c>
      <c r="D41" s="0" t="n">
        <f aca="false">IF(AND(R41&gt;Q41,R41&gt;O41),62,IF(Q41&gt;O41,"FRA",70))</f>
        <v>70</v>
      </c>
      <c r="G41" s="6" t="n">
        <f aca="false">G40+12*HLOOKUP(VLOOKUP($G$8,$J$1:$K$2,2,0),$B$1:$C$4,3,0)</f>
        <v>687500</v>
      </c>
      <c r="H41" s="6" t="n">
        <f aca="false">H40+HLOOKUP(VLOOKUP($G$8,$J$1:$K$2,2,0),$B$1:$C$4,2,0)*12</f>
        <v>669900</v>
      </c>
      <c r="I41" s="6" t="n">
        <f aca="false">I40+HLOOKUP(VLOOKUP($G$8,$J$1:$K$2,2,0),$B$1:$C$4,4,0)*12</f>
        <v>445200</v>
      </c>
      <c r="J41" s="6" t="n">
        <f aca="false">J40+12*0.325*HLOOKUP(VLOOKUP($L$8,$J$1:$K$2,2,0),$B$1:$C$4,2,0)</f>
        <v>313495</v>
      </c>
      <c r="K41" s="6" t="n">
        <f aca="false">K40+12*0.5*HLOOKUP(VLOOKUP($L$8,$J$1:$K$2,2,0),$B$1:$C$4,2,0)</f>
        <v>435500</v>
      </c>
      <c r="L41" s="6" t="n">
        <f aca="false">IF($C41&gt;=70.083,IF(L40=0,IF(DAY(MAX($G$1,$G$3))=1,12,11)*HLOOKUP(VLOOKUP($L$8,$J$1:$K$2,2,0),$B$1:$C$4,3,0),L40+12*HLOOKUP(VLOOKUP($L$8,$J$1:$K$2,2,0),$B$1:$C$4,3,0)),0)</f>
        <v>501000</v>
      </c>
      <c r="M41" s="6" t="n">
        <f aca="false">IF($C41&gt;=(66+1/3),IF(M40=0,IF(DAY(MAX($G$1,$G$3))=1,8,7)*HLOOKUP(VLOOKUP($L$8,$J$1:$K$2,2,0),$B$1:$C$4,2,0),M40+12*HLOOKUP(VLOOKUP($L$8,$J$1:$K$2,2,0),$B$1:$C$4,2,0)),0)</f>
        <v>517400</v>
      </c>
      <c r="N41" s="6" t="n">
        <f aca="false">IF($C41&gt;=62.083,IF(N40=0,IF(DAY(MAX($G$1,$G$3))=1,12,11)*HLOOKUP(VLOOKUP($L$8,$J$1:$K$2,2,0),$B$1:$C$4,4,0),N40+12*HLOOKUP(VLOOKUP($L$8,$J$1:$K$2,2,0),$B$1:$C$4,4,0)),0)</f>
        <v>447100</v>
      </c>
      <c r="O41" s="6" t="n">
        <f aca="false">IF($C41&gt;=62.083,IF(O40=0,IF(DAY(MAX($G$1,$G$3))=1,12,11)*0.325*HLOOKUP(VLOOKUP($G$8,$J$1:$K$2,2,0),$B$1:$C$4,2,0),O40+12*0.325*HLOOKUP(VLOOKUP($G$8,$J$1:$K$2,2,0),$B$1:$C$4,2,0)),0)</f>
        <v>179497.5</v>
      </c>
      <c r="P41" s="6" t="n">
        <f aca="false">IF($C41&gt;=(66+1/3),IF(P40=0,IF(DAY(MAX($G$1,$G$3))=1,12,11)*0.5*HLOOKUP(VLOOKUP($G$8,$J$1:$K$2,2,0),$B$1:$C$4,2,0),P40+12*0.5*HLOOKUP(VLOOKUP($G$8,$J$1:$K$2,2,0),$B$1:$C$4,2,0)),0)</f>
        <v>208950</v>
      </c>
      <c r="Q41" s="6"/>
      <c r="R41" s="6"/>
    </row>
    <row r="42" customFormat="false" ht="15" hidden="false" customHeight="false" outlineLevel="0" collapsed="false">
      <c r="A42" s="2" t="n">
        <f aca="false">A41+365.25</f>
        <v>55186.5</v>
      </c>
      <c r="B42" s="0" t="n">
        <f aca="false">B41+1</f>
        <v>94</v>
      </c>
      <c r="C42" s="0" t="n">
        <f aca="false">C41+1</f>
        <v>84.0862422997947</v>
      </c>
      <c r="D42" s="0" t="n">
        <f aca="false">IF(AND(R42&gt;Q42,R42&gt;O42),62,IF(Q42&gt;O42,"FRA",70))</f>
        <v>70</v>
      </c>
      <c r="G42" s="6" t="n">
        <f aca="false">G41+12*HLOOKUP(VLOOKUP($G$8,$J$1:$K$2,2,0),$B$1:$C$4,3,0)</f>
        <v>717500</v>
      </c>
      <c r="H42" s="6" t="n">
        <f aca="false">H41+HLOOKUP(VLOOKUP($G$8,$J$1:$K$2,2,0),$B$1:$C$4,2,0)*12</f>
        <v>695100</v>
      </c>
      <c r="I42" s="6" t="n">
        <f aca="false">I41+HLOOKUP(VLOOKUP($G$8,$J$1:$K$2,2,0),$B$1:$C$4,4,0)*12</f>
        <v>459600</v>
      </c>
      <c r="J42" s="6" t="n">
        <f aca="false">J41+12*0.325*HLOOKUP(VLOOKUP($L$8,$J$1:$K$2,2,0),$B$1:$C$4,2,0)</f>
        <v>323635</v>
      </c>
      <c r="K42" s="6" t="n">
        <f aca="false">K41+12*0.5*HLOOKUP(VLOOKUP($L$8,$J$1:$K$2,2,0),$B$1:$C$4,2,0)</f>
        <v>451100</v>
      </c>
      <c r="L42" s="6" t="n">
        <f aca="false">IF($C42&gt;=70.083,IF(L41=0,IF(DAY(MAX($G$1,$G$3))=1,12,11)*HLOOKUP(VLOOKUP($L$8,$J$1:$K$2,2,0),$B$1:$C$4,3,0),L41+12*HLOOKUP(VLOOKUP($L$8,$J$1:$K$2,2,0),$B$1:$C$4,3,0)),0)</f>
        <v>537000</v>
      </c>
      <c r="M42" s="6" t="n">
        <f aca="false">IF($C42&gt;=(66+1/3),IF(M41=0,IF(DAY(MAX($G$1,$G$3))=1,8,7)*HLOOKUP(VLOOKUP($L$8,$J$1:$K$2,2,0),$B$1:$C$4,2,0),M41+12*HLOOKUP(VLOOKUP($L$8,$J$1:$K$2,2,0),$B$1:$C$4,2,0)),0)</f>
        <v>548600</v>
      </c>
      <c r="N42" s="6" t="n">
        <f aca="false">IF($C42&gt;=62.083,IF(N41=0,IF(DAY(MAX($G$1,$G$3))=1,12,11)*HLOOKUP(VLOOKUP($L$8,$J$1:$K$2,2,0),$B$1:$C$4,4,0),N41+12*HLOOKUP(VLOOKUP($L$8,$J$1:$K$2,2,0),$B$1:$C$4,4,0)),0)</f>
        <v>467500</v>
      </c>
      <c r="O42" s="6" t="n">
        <f aca="false">IF($C42&gt;=62.083,IF(O41=0,IF(DAY(MAX($G$1,$G$3))=1,12,11)*0.325*HLOOKUP(VLOOKUP($G$8,$J$1:$K$2,2,0),$B$1:$C$4,2,0),O41+12*0.325*HLOOKUP(VLOOKUP($G$8,$J$1:$K$2,2,0),$B$1:$C$4,2,0)),0)</f>
        <v>187687.5</v>
      </c>
      <c r="P42" s="6" t="n">
        <f aca="false">IF($C42&gt;=(66+1/3),IF(P41=0,IF(DAY(MAX($G$1,$G$3))=1,12,11)*0.5*HLOOKUP(VLOOKUP($G$8,$J$1:$K$2,2,0),$B$1:$C$4,2,0),P41+12*0.5*HLOOKUP(VLOOKUP($G$8,$J$1:$K$2,2,0),$B$1:$C$4,2,0)),0)</f>
        <v>221550</v>
      </c>
      <c r="Q42" s="6"/>
      <c r="R42" s="6"/>
    </row>
    <row r="43" customFormat="false" ht="15" hidden="false" customHeight="false" outlineLevel="0" collapsed="false">
      <c r="A43" s="2" t="n">
        <f aca="false">A42+365.25</f>
        <v>55551.75</v>
      </c>
      <c r="B43" s="0" t="n">
        <f aca="false">B42+1</f>
        <v>95</v>
      </c>
      <c r="C43" s="0" t="n">
        <f aca="false">C42+1</f>
        <v>85.0862422997947</v>
      </c>
      <c r="D43" s="0" t="n">
        <f aca="false">IF(AND(R43&gt;Q43,R43&gt;O43),62,IF(Q43&gt;O43,"FRA",70))</f>
        <v>70</v>
      </c>
      <c r="G43" s="6" t="n">
        <f aca="false">G42+12*HLOOKUP(VLOOKUP($G$8,$J$1:$K$2,2,0),$B$1:$C$4,3,0)</f>
        <v>747500</v>
      </c>
      <c r="H43" s="6" t="n">
        <f aca="false">H42+HLOOKUP(VLOOKUP($G$8,$J$1:$K$2,2,0),$B$1:$C$4,2,0)*12</f>
        <v>720300</v>
      </c>
      <c r="I43" s="6" t="n">
        <f aca="false">I42+HLOOKUP(VLOOKUP($G$8,$J$1:$K$2,2,0),$B$1:$C$4,4,0)*12</f>
        <v>474000</v>
      </c>
      <c r="J43" s="6" t="n">
        <f aca="false">J42+12*0.325*HLOOKUP(VLOOKUP($L$8,$J$1:$K$2,2,0),$B$1:$C$4,2,0)</f>
        <v>333775</v>
      </c>
      <c r="K43" s="6" t="n">
        <f aca="false">K42+12*0.5*HLOOKUP(VLOOKUP($L$8,$J$1:$K$2,2,0),$B$1:$C$4,2,0)</f>
        <v>466700</v>
      </c>
      <c r="L43" s="6" t="n">
        <f aca="false">IF($C43&gt;=70.083,IF(L42=0,IF(DAY(MAX($G$1,$G$3))=1,12,11)*HLOOKUP(VLOOKUP($L$8,$J$1:$K$2,2,0),$B$1:$C$4,3,0),L42+12*HLOOKUP(VLOOKUP($L$8,$J$1:$K$2,2,0),$B$1:$C$4,3,0)),0)</f>
        <v>573000</v>
      </c>
      <c r="M43" s="6" t="n">
        <f aca="false">IF($C43&gt;=(66+1/3),IF(M42=0,IF(DAY(MAX($G$1,$G$3))=1,8,7)*HLOOKUP(VLOOKUP($L$8,$J$1:$K$2,2,0),$B$1:$C$4,2,0),M42+12*HLOOKUP(VLOOKUP($L$8,$J$1:$K$2,2,0),$B$1:$C$4,2,0)),0)</f>
        <v>579800</v>
      </c>
      <c r="N43" s="6" t="n">
        <f aca="false">IF($C43&gt;=62.083,IF(N42=0,IF(DAY(MAX($G$1,$G$3))=1,12,11)*HLOOKUP(VLOOKUP($L$8,$J$1:$K$2,2,0),$B$1:$C$4,4,0),N42+12*HLOOKUP(VLOOKUP($L$8,$J$1:$K$2,2,0),$B$1:$C$4,4,0)),0)</f>
        <v>487900</v>
      </c>
      <c r="O43" s="6" t="n">
        <f aca="false">IF($C43&gt;=62.083,IF(O42=0,IF(DAY(MAX($G$1,$G$3))=1,12,11)*0.325*HLOOKUP(VLOOKUP($G$8,$J$1:$K$2,2,0),$B$1:$C$4,2,0),O42+12*0.325*HLOOKUP(VLOOKUP($G$8,$J$1:$K$2,2,0),$B$1:$C$4,2,0)),0)</f>
        <v>195877.5</v>
      </c>
      <c r="P43" s="6" t="n">
        <f aca="false">IF($C43&gt;=(66+1/3),IF(P42=0,IF(DAY(MAX($G$1,$G$3))=1,12,11)*0.5*HLOOKUP(VLOOKUP($G$8,$J$1:$K$2,2,0),$B$1:$C$4,2,0),P42+12*0.5*HLOOKUP(VLOOKUP($G$8,$J$1:$K$2,2,0),$B$1:$C$4,2,0)),0)</f>
        <v>234150</v>
      </c>
      <c r="Q43" s="6"/>
      <c r="R43" s="6"/>
    </row>
    <row r="44" customFormat="false" ht="15" hidden="false" customHeight="false" outlineLevel="0" collapsed="false">
      <c r="A44" s="2" t="n">
        <f aca="false">A43+365.25</f>
        <v>55917</v>
      </c>
      <c r="B44" s="0" t="n">
        <f aca="false">B43+1</f>
        <v>96</v>
      </c>
      <c r="C44" s="0" t="n">
        <f aca="false">C43+1</f>
        <v>86.0862422997947</v>
      </c>
      <c r="D44" s="0" t="n">
        <f aca="false">IF(AND(R44&gt;Q44,R44&gt;O44),62,IF(Q44&gt;O44,"FRA",70))</f>
        <v>70</v>
      </c>
      <c r="G44" s="6" t="n">
        <f aca="false">G43+12*HLOOKUP(VLOOKUP($G$8,$J$1:$K$2,2,0),$B$1:$C$4,3,0)</f>
        <v>777500</v>
      </c>
      <c r="H44" s="6" t="n">
        <f aca="false">H43+HLOOKUP(VLOOKUP($G$8,$J$1:$K$2,2,0),$B$1:$C$4,2,0)*12</f>
        <v>745500</v>
      </c>
      <c r="I44" s="6" t="n">
        <f aca="false">I43+HLOOKUP(VLOOKUP($G$8,$J$1:$K$2,2,0),$B$1:$C$4,4,0)*12</f>
        <v>488400</v>
      </c>
      <c r="J44" s="6" t="n">
        <f aca="false">J43+12*0.325*HLOOKUP(VLOOKUP($L$8,$J$1:$K$2,2,0),$B$1:$C$4,2,0)</f>
        <v>343915</v>
      </c>
      <c r="K44" s="6" t="n">
        <f aca="false">K43+12*0.5*HLOOKUP(VLOOKUP($L$8,$J$1:$K$2,2,0),$B$1:$C$4,2,0)</f>
        <v>482300</v>
      </c>
      <c r="L44" s="6" t="n">
        <f aca="false">IF($C44&gt;=70.083,IF(L43=0,IF(DAY(MAX($G$1,$G$3))=1,12,11)*HLOOKUP(VLOOKUP($L$8,$J$1:$K$2,2,0),$B$1:$C$4,3,0),L43+12*HLOOKUP(VLOOKUP($L$8,$J$1:$K$2,2,0),$B$1:$C$4,3,0)),0)</f>
        <v>609000</v>
      </c>
      <c r="M44" s="6" t="n">
        <f aca="false">IF($C44&gt;=(66+1/3),IF(M43=0,IF(DAY(MAX($G$1,$G$3))=1,8,7)*HLOOKUP(VLOOKUP($L$8,$J$1:$K$2,2,0),$B$1:$C$4,2,0),M43+12*HLOOKUP(VLOOKUP($L$8,$J$1:$K$2,2,0),$B$1:$C$4,2,0)),0)</f>
        <v>611000</v>
      </c>
      <c r="N44" s="6" t="n">
        <f aca="false">IF($C44&gt;=62.083,IF(N43=0,IF(DAY(MAX($G$1,$G$3))=1,12,11)*HLOOKUP(VLOOKUP($L$8,$J$1:$K$2,2,0),$B$1:$C$4,4,0),N43+12*HLOOKUP(VLOOKUP($L$8,$J$1:$K$2,2,0),$B$1:$C$4,4,0)),0)</f>
        <v>508300</v>
      </c>
      <c r="O44" s="6" t="n">
        <f aca="false">IF($C44&gt;=62.083,IF(O43=0,IF(DAY(MAX($G$1,$G$3))=1,12,11)*0.325*HLOOKUP(VLOOKUP($G$8,$J$1:$K$2,2,0),$B$1:$C$4,2,0),O43+12*0.325*HLOOKUP(VLOOKUP($G$8,$J$1:$K$2,2,0),$B$1:$C$4,2,0)),0)</f>
        <v>204067.5</v>
      </c>
      <c r="P44" s="6" t="n">
        <f aca="false">IF($C44&gt;=(66+1/3),IF(P43=0,IF(DAY(MAX($G$1,$G$3))=1,12,11)*0.5*HLOOKUP(VLOOKUP($G$8,$J$1:$K$2,2,0),$B$1:$C$4,2,0),P43+12*0.5*HLOOKUP(VLOOKUP($G$8,$J$1:$K$2,2,0),$B$1:$C$4,2,0)),0)</f>
        <v>246750</v>
      </c>
      <c r="Q44" s="6"/>
      <c r="R44" s="6"/>
    </row>
    <row r="45" customFormat="false" ht="15" hidden="false" customHeight="false" outlineLevel="0" collapsed="false">
      <c r="A45" s="2" t="n">
        <f aca="false">A44+365.25</f>
        <v>56282.25</v>
      </c>
      <c r="B45" s="0" t="n">
        <f aca="false">B44+1</f>
        <v>97</v>
      </c>
      <c r="C45" s="0" t="n">
        <f aca="false">C44+1</f>
        <v>87.0862422997947</v>
      </c>
      <c r="D45" s="0" t="n">
        <f aca="false">IF(AND(R45&gt;Q45,R45&gt;O45),62,IF(Q45&gt;O45,"FRA",70))</f>
        <v>70</v>
      </c>
      <c r="G45" s="6" t="n">
        <f aca="false">G44+12*HLOOKUP(VLOOKUP($G$8,$J$1:$K$2,2,0),$B$1:$C$4,3,0)</f>
        <v>807500</v>
      </c>
      <c r="H45" s="6" t="n">
        <f aca="false">H44+HLOOKUP(VLOOKUP($G$8,$J$1:$K$2,2,0),$B$1:$C$4,2,0)*12</f>
        <v>770700</v>
      </c>
      <c r="I45" s="6" t="n">
        <f aca="false">I44+HLOOKUP(VLOOKUP($G$8,$J$1:$K$2,2,0),$B$1:$C$4,4,0)*12</f>
        <v>502800</v>
      </c>
      <c r="J45" s="6" t="n">
        <f aca="false">J44+12*0.325*HLOOKUP(VLOOKUP($L$8,$J$1:$K$2,2,0),$B$1:$C$4,2,0)</f>
        <v>354055</v>
      </c>
      <c r="K45" s="6" t="n">
        <f aca="false">K44+12*0.5*HLOOKUP(VLOOKUP($L$8,$J$1:$K$2,2,0),$B$1:$C$4,2,0)</f>
        <v>497900</v>
      </c>
      <c r="L45" s="6" t="n">
        <f aca="false">IF($C45&gt;=70.083,IF(L44=0,IF(DAY(MAX($G$1,$G$3))=1,12,11)*HLOOKUP(VLOOKUP($L$8,$J$1:$K$2,2,0),$B$1:$C$4,3,0),L44+12*HLOOKUP(VLOOKUP($L$8,$J$1:$K$2,2,0),$B$1:$C$4,3,0)),0)</f>
        <v>645000</v>
      </c>
      <c r="M45" s="6" t="n">
        <f aca="false">IF($C45&gt;=(66+1/3),IF(M44=0,IF(DAY(MAX($G$1,$G$3))=1,8,7)*HLOOKUP(VLOOKUP($L$8,$J$1:$K$2,2,0),$B$1:$C$4,2,0),M44+12*HLOOKUP(VLOOKUP($L$8,$J$1:$K$2,2,0),$B$1:$C$4,2,0)),0)</f>
        <v>642200</v>
      </c>
      <c r="N45" s="6" t="n">
        <f aca="false">IF($C45&gt;=62.083,IF(N44=0,IF(DAY(MAX($G$1,$G$3))=1,12,11)*HLOOKUP(VLOOKUP($L$8,$J$1:$K$2,2,0),$B$1:$C$4,4,0),N44+12*HLOOKUP(VLOOKUP($L$8,$J$1:$K$2,2,0),$B$1:$C$4,4,0)),0)</f>
        <v>528700</v>
      </c>
      <c r="O45" s="6" t="n">
        <f aca="false">IF($C45&gt;=62.083,IF(O44=0,IF(DAY(MAX($G$1,$G$3))=1,12,11)*0.325*HLOOKUP(VLOOKUP($G$8,$J$1:$K$2,2,0),$B$1:$C$4,2,0),O44+12*0.325*HLOOKUP(VLOOKUP($G$8,$J$1:$K$2,2,0),$B$1:$C$4,2,0)),0)</f>
        <v>212257.5</v>
      </c>
      <c r="P45" s="6" t="n">
        <f aca="false">IF($C45&gt;=(66+1/3),IF(P44=0,IF(DAY(MAX($G$1,$G$3))=1,12,11)*0.5*HLOOKUP(VLOOKUP($G$8,$J$1:$K$2,2,0),$B$1:$C$4,2,0),P44+12*0.5*HLOOKUP(VLOOKUP($G$8,$J$1:$K$2,2,0),$B$1:$C$4,2,0)),0)</f>
        <v>259350</v>
      </c>
      <c r="Q45" s="6"/>
      <c r="R45" s="6"/>
    </row>
    <row r="46" customFormat="false" ht="15" hidden="false" customHeight="false" outlineLevel="0" collapsed="false">
      <c r="A46" s="2" t="n">
        <f aca="false">A45+365.25</f>
        <v>56647.5</v>
      </c>
      <c r="B46" s="0" t="n">
        <f aca="false">B45+1</f>
        <v>98</v>
      </c>
      <c r="C46" s="0" t="n">
        <f aca="false">C45+1</f>
        <v>88.0862422997947</v>
      </c>
      <c r="D46" s="0" t="n">
        <f aca="false">IF(AND(R46&gt;Q46,R46&gt;O46),62,IF(Q46&gt;O46,"FRA",70))</f>
        <v>70</v>
      </c>
      <c r="G46" s="6" t="n">
        <f aca="false">G45+12*HLOOKUP(VLOOKUP($G$8,$J$1:$K$2,2,0),$B$1:$C$4,3,0)</f>
        <v>837500</v>
      </c>
      <c r="H46" s="6" t="n">
        <f aca="false">H45+HLOOKUP(VLOOKUP($G$8,$J$1:$K$2,2,0),$B$1:$C$4,2,0)*12</f>
        <v>795900</v>
      </c>
      <c r="I46" s="6" t="n">
        <f aca="false">I45+HLOOKUP(VLOOKUP($G$8,$J$1:$K$2,2,0),$B$1:$C$4,4,0)*12</f>
        <v>517200</v>
      </c>
      <c r="J46" s="6" t="n">
        <f aca="false">J45+12*0.325*HLOOKUP(VLOOKUP($L$8,$J$1:$K$2,2,0),$B$1:$C$4,2,0)</f>
        <v>364195</v>
      </c>
      <c r="K46" s="6" t="n">
        <f aca="false">K45+12*0.5*HLOOKUP(VLOOKUP($L$8,$J$1:$K$2,2,0),$B$1:$C$4,2,0)</f>
        <v>513500</v>
      </c>
      <c r="L46" s="6" t="n">
        <f aca="false">IF($C46&gt;=70.083,IF(L45=0,IF(DAY(MAX($G$1,$G$3))=1,12,11)*HLOOKUP(VLOOKUP($L$8,$J$1:$K$2,2,0),$B$1:$C$4,3,0),L45+12*HLOOKUP(VLOOKUP($L$8,$J$1:$K$2,2,0),$B$1:$C$4,3,0)),0)</f>
        <v>681000</v>
      </c>
      <c r="M46" s="6" t="n">
        <f aca="false">IF($C46&gt;=(66+1/3),IF(M45=0,IF(DAY(MAX($G$1,$G$3))=1,8,7)*HLOOKUP(VLOOKUP($L$8,$J$1:$K$2,2,0),$B$1:$C$4,2,0),M45+12*HLOOKUP(VLOOKUP($L$8,$J$1:$K$2,2,0),$B$1:$C$4,2,0)),0)</f>
        <v>673400</v>
      </c>
      <c r="N46" s="6" t="n">
        <f aca="false">IF($C46&gt;=62.083,IF(N45=0,IF(DAY(MAX($G$1,$G$3))=1,12,11)*HLOOKUP(VLOOKUP($L$8,$J$1:$K$2,2,0),$B$1:$C$4,4,0),N45+12*HLOOKUP(VLOOKUP($L$8,$J$1:$K$2,2,0),$B$1:$C$4,4,0)),0)</f>
        <v>549100</v>
      </c>
      <c r="O46" s="6" t="n">
        <f aca="false">IF($C46&gt;=62.083,IF(O45=0,IF(DAY(MAX($G$1,$G$3))=1,12,11)*0.325*HLOOKUP(VLOOKUP($G$8,$J$1:$K$2,2,0),$B$1:$C$4,2,0),O45+12*0.325*HLOOKUP(VLOOKUP($G$8,$J$1:$K$2,2,0),$B$1:$C$4,2,0)),0)</f>
        <v>220447.5</v>
      </c>
      <c r="P46" s="6" t="n">
        <f aca="false">IF($C46&gt;=(66+1/3),IF(P45=0,IF(DAY(MAX($G$1,$G$3))=1,12,11)*0.5*HLOOKUP(VLOOKUP($G$8,$J$1:$K$2,2,0),$B$1:$C$4,2,0),P45+12*0.5*HLOOKUP(VLOOKUP($G$8,$J$1:$K$2,2,0),$B$1:$C$4,2,0)),0)</f>
        <v>271950</v>
      </c>
      <c r="Q46" s="6"/>
      <c r="R46" s="6"/>
    </row>
    <row r="47" customFormat="false" ht="15" hidden="false" customHeight="false" outlineLevel="0" collapsed="false">
      <c r="A47" s="2" t="n">
        <f aca="false">A46+365.25</f>
        <v>57012.75</v>
      </c>
      <c r="B47" s="0" t="n">
        <f aca="false">B46+1</f>
        <v>99</v>
      </c>
      <c r="C47" s="0" t="n">
        <f aca="false">C46+1</f>
        <v>89.0862422997947</v>
      </c>
      <c r="D47" s="0" t="n">
        <f aca="false">IF(AND(R47&gt;Q47,R47&gt;O47),62,IF(Q47&gt;O47,"FRA",70))</f>
        <v>70</v>
      </c>
      <c r="G47" s="6" t="n">
        <f aca="false">G46+12*HLOOKUP(VLOOKUP($G$8,$J$1:$K$2,2,0),$B$1:$C$4,3,0)</f>
        <v>867500</v>
      </c>
      <c r="H47" s="6" t="n">
        <f aca="false">H46+HLOOKUP(VLOOKUP($G$8,$J$1:$K$2,2,0),$B$1:$C$4,2,0)*12</f>
        <v>821100</v>
      </c>
      <c r="I47" s="6" t="n">
        <f aca="false">I46+HLOOKUP(VLOOKUP($G$8,$J$1:$K$2,2,0),$B$1:$C$4,4,0)*12</f>
        <v>531600</v>
      </c>
      <c r="J47" s="6" t="n">
        <f aca="false">J46+12*0.325*HLOOKUP(VLOOKUP($L$8,$J$1:$K$2,2,0),$B$1:$C$4,2,0)</f>
        <v>374335</v>
      </c>
      <c r="K47" s="6" t="n">
        <f aca="false">K46+12*0.5*HLOOKUP(VLOOKUP($L$8,$J$1:$K$2,2,0),$B$1:$C$4,2,0)</f>
        <v>529100</v>
      </c>
      <c r="L47" s="6" t="n">
        <f aca="false">IF($C47&gt;=70.083,IF(L46=0,IF(DAY(MAX($G$1,$G$3))=1,12,11)*HLOOKUP(VLOOKUP($L$8,$J$1:$K$2,2,0),$B$1:$C$4,3,0),L46+12*HLOOKUP(VLOOKUP($L$8,$J$1:$K$2,2,0),$B$1:$C$4,3,0)),0)</f>
        <v>717000</v>
      </c>
      <c r="M47" s="6" t="n">
        <f aca="false">IF($C47&gt;=(66+1/3),IF(M46=0,IF(DAY(MAX($G$1,$G$3))=1,8,7)*HLOOKUP(VLOOKUP($L$8,$J$1:$K$2,2,0),$B$1:$C$4,2,0),M46+12*HLOOKUP(VLOOKUP($L$8,$J$1:$K$2,2,0),$B$1:$C$4,2,0)),0)</f>
        <v>704600</v>
      </c>
      <c r="N47" s="6" t="n">
        <f aca="false">IF($C47&gt;=62.083,IF(N46=0,IF(DAY(MAX($G$1,$G$3))=1,12,11)*HLOOKUP(VLOOKUP($L$8,$J$1:$K$2,2,0),$B$1:$C$4,4,0),N46+12*HLOOKUP(VLOOKUP($L$8,$J$1:$K$2,2,0),$B$1:$C$4,4,0)),0)</f>
        <v>569500</v>
      </c>
      <c r="O47" s="6" t="n">
        <f aca="false">IF($C47&gt;=62.083,IF(O46=0,IF(DAY(MAX($G$1,$G$3))=1,12,11)*0.325*HLOOKUP(VLOOKUP($G$8,$J$1:$K$2,2,0),$B$1:$C$4,2,0),O46+12*0.325*HLOOKUP(VLOOKUP($G$8,$J$1:$K$2,2,0),$B$1:$C$4,2,0)),0)</f>
        <v>228637.5</v>
      </c>
      <c r="P47" s="6" t="n">
        <f aca="false">IF($C47&gt;=(66+1/3),IF(P46=0,IF(DAY(MAX($G$1,$G$3))=1,12,11)*0.5*HLOOKUP(VLOOKUP($G$8,$J$1:$K$2,2,0),$B$1:$C$4,2,0),P46+12*0.5*HLOOKUP(VLOOKUP($G$8,$J$1:$K$2,2,0),$B$1:$C$4,2,0)),0)</f>
        <v>284550</v>
      </c>
      <c r="Q47" s="6"/>
      <c r="R47" s="6"/>
    </row>
    <row r="48" customFormat="false" ht="15" hidden="false" customHeight="false" outlineLevel="0" collapsed="false">
      <c r="A48" s="2" t="n">
        <f aca="false">A47+365.25</f>
        <v>57378</v>
      </c>
      <c r="B48" s="0" t="n">
        <f aca="false">B47+1</f>
        <v>100</v>
      </c>
      <c r="C48" s="0" t="n">
        <f aca="false">C47+1</f>
        <v>90.0862422997947</v>
      </c>
      <c r="D48" s="0" t="n">
        <f aca="false">IF(AND(R48&gt;Q48,R48&gt;O48),62,IF(Q48&gt;O48,"FRA",70))</f>
        <v>70</v>
      </c>
      <c r="G48" s="6" t="n">
        <f aca="false">G47+12*HLOOKUP(VLOOKUP($G$8,$J$1:$K$2,2,0),$B$1:$C$4,3,0)</f>
        <v>897500</v>
      </c>
      <c r="H48" s="6" t="n">
        <f aca="false">H47+HLOOKUP(VLOOKUP($G$8,$J$1:$K$2,2,0),$B$1:$C$4,2,0)*12</f>
        <v>846300</v>
      </c>
      <c r="I48" s="6" t="n">
        <f aca="false">I47+HLOOKUP(VLOOKUP($G$8,$J$1:$K$2,2,0),$B$1:$C$4,4,0)*12</f>
        <v>546000</v>
      </c>
      <c r="J48" s="6" t="n">
        <f aca="false">J47+12*0.325*HLOOKUP(VLOOKUP($L$8,$J$1:$K$2,2,0),$B$1:$C$4,2,0)</f>
        <v>384475</v>
      </c>
      <c r="K48" s="6" t="n">
        <f aca="false">K47+12*0.5*HLOOKUP(VLOOKUP($L$8,$J$1:$K$2,2,0),$B$1:$C$4,2,0)</f>
        <v>544700</v>
      </c>
      <c r="L48" s="6" t="n">
        <f aca="false">IF($C48&gt;=70.083,IF(L47=0,IF(DAY(MAX($G$1,$G$3))=1,12,11)*HLOOKUP(VLOOKUP($L$8,$J$1:$K$2,2,0),$B$1:$C$4,3,0),L47+12*HLOOKUP(VLOOKUP($L$8,$J$1:$K$2,2,0),$B$1:$C$4,3,0)),0)</f>
        <v>753000</v>
      </c>
      <c r="M48" s="6" t="n">
        <f aca="false">IF($C48&gt;=(66+1/3),IF(M47=0,IF(DAY(MAX($G$1,$G$3))=1,8,7)*HLOOKUP(VLOOKUP($L$8,$J$1:$K$2,2,0),$B$1:$C$4,2,0),M47+12*HLOOKUP(VLOOKUP($L$8,$J$1:$K$2,2,0),$B$1:$C$4,2,0)),0)</f>
        <v>735800</v>
      </c>
      <c r="N48" s="6" t="n">
        <f aca="false">IF($C48&gt;=62.083,IF(N47=0,IF(DAY(MAX($G$1,$G$3))=1,12,11)*HLOOKUP(VLOOKUP($L$8,$J$1:$K$2,2,0),$B$1:$C$4,4,0),N47+12*HLOOKUP(VLOOKUP($L$8,$J$1:$K$2,2,0),$B$1:$C$4,4,0)),0)</f>
        <v>589900</v>
      </c>
      <c r="O48" s="6" t="n">
        <f aca="false">IF($C48&gt;=62.083,IF(O47=0,IF(DAY(MAX($G$1,$G$3))=1,12,11)*0.325*HLOOKUP(VLOOKUP($G$8,$J$1:$K$2,2,0),$B$1:$C$4,2,0),O47+12*0.325*HLOOKUP(VLOOKUP($G$8,$J$1:$K$2,2,0),$B$1:$C$4,2,0)),0)</f>
        <v>236827.5</v>
      </c>
      <c r="P48" s="6" t="n">
        <f aca="false">IF($C48&gt;=(66+1/3),IF(P47=0,IF(DAY(MAX($G$1,$G$3))=1,12,11)*0.5*HLOOKUP(VLOOKUP($G$8,$J$1:$K$2,2,0),$B$1:$C$4,2,0),P47+12*0.5*HLOOKUP(VLOOKUP($G$8,$J$1:$K$2,2,0),$B$1:$C$4,2,0)),0)</f>
        <v>297150</v>
      </c>
      <c r="Q48" s="6"/>
      <c r="R48" s="6"/>
    </row>
    <row r="49" customFormat="false" ht="15" hidden="false" customHeight="false" outlineLevel="0" collapsed="false">
      <c r="A49" s="2" t="n">
        <f aca="false">A48+365.25</f>
        <v>57743.25</v>
      </c>
      <c r="B49" s="0" t="n">
        <f aca="false">B48+1</f>
        <v>101</v>
      </c>
      <c r="C49" s="0" t="n">
        <f aca="false">C48+1</f>
        <v>91.0862422997947</v>
      </c>
      <c r="D49" s="0" t="n">
        <f aca="false">IF(AND(R49&gt;Q49,R49&gt;O49),62,IF(Q49&gt;O49,"FRA",70))</f>
        <v>70</v>
      </c>
      <c r="G49" s="6" t="n">
        <f aca="false">G48+12*HLOOKUP(VLOOKUP($G$8,$J$1:$K$2,2,0),$B$1:$C$4,3,0)</f>
        <v>927500</v>
      </c>
      <c r="H49" s="6" t="n">
        <f aca="false">H48+HLOOKUP(VLOOKUP($G$8,$J$1:$K$2,2,0),$B$1:$C$4,2,0)*12</f>
        <v>871500</v>
      </c>
      <c r="I49" s="6" t="n">
        <f aca="false">I48+HLOOKUP(VLOOKUP($G$8,$J$1:$K$2,2,0),$B$1:$C$4,4,0)*12</f>
        <v>560400</v>
      </c>
      <c r="J49" s="6" t="n">
        <f aca="false">J48+12*0.325*HLOOKUP(VLOOKUP($L$8,$J$1:$K$2,2,0),$B$1:$C$4,2,0)</f>
        <v>394615</v>
      </c>
      <c r="K49" s="6" t="n">
        <f aca="false">K48+12*0.5*HLOOKUP(VLOOKUP($L$8,$J$1:$K$2,2,0),$B$1:$C$4,2,0)</f>
        <v>560300</v>
      </c>
      <c r="L49" s="6" t="n">
        <f aca="false">IF($C49&gt;=70.083,IF(L48=0,IF(DAY(MAX($G$1,$G$3))=1,12,11)*HLOOKUP(VLOOKUP($L$8,$J$1:$K$2,2,0),$B$1:$C$4,3,0),L48+12*HLOOKUP(VLOOKUP($L$8,$J$1:$K$2,2,0),$B$1:$C$4,3,0)),0)</f>
        <v>789000</v>
      </c>
      <c r="M49" s="6" t="n">
        <f aca="false">IF($C49&gt;=(66+1/3),IF(M48=0,IF(DAY(MAX($G$1,$G$3))=1,8,7)*HLOOKUP(VLOOKUP($L$8,$J$1:$K$2,2,0),$B$1:$C$4,2,0),M48+12*HLOOKUP(VLOOKUP($L$8,$J$1:$K$2,2,0),$B$1:$C$4,2,0)),0)</f>
        <v>767000</v>
      </c>
      <c r="N49" s="6" t="n">
        <f aca="false">IF($C49&gt;=62.083,IF(N48=0,IF(DAY(MAX($G$1,$G$3))=1,12,11)*HLOOKUP(VLOOKUP($L$8,$J$1:$K$2,2,0),$B$1:$C$4,4,0),N48+12*HLOOKUP(VLOOKUP($L$8,$J$1:$K$2,2,0),$B$1:$C$4,4,0)),0)</f>
        <v>610300</v>
      </c>
      <c r="O49" s="6" t="n">
        <f aca="false">IF($C49&gt;=62.083,IF(O48=0,IF(DAY(MAX($G$1,$G$3))=1,12,11)*0.325*HLOOKUP(VLOOKUP($G$8,$J$1:$K$2,2,0),$B$1:$C$4,2,0),O48+12*0.325*HLOOKUP(VLOOKUP($G$8,$J$1:$K$2,2,0),$B$1:$C$4,2,0)),0)</f>
        <v>245017.5</v>
      </c>
      <c r="P49" s="6" t="n">
        <f aca="false">IF($C49&gt;=(66+1/3),IF(P48=0,IF(DAY(MAX($G$1,$G$3))=1,12,11)*0.5*HLOOKUP(VLOOKUP($G$8,$J$1:$K$2,2,0),$B$1:$C$4,2,0),P48+12*0.5*HLOOKUP(VLOOKUP($G$8,$J$1:$K$2,2,0),$B$1:$C$4,2,0)),0)</f>
        <v>309750</v>
      </c>
      <c r="Q49" s="6"/>
      <c r="R49" s="6"/>
    </row>
    <row r="50" customFormat="false" ht="15" hidden="false" customHeight="false" outlineLevel="0" collapsed="false">
      <c r="A50" s="2" t="n">
        <f aca="false">A49+365.25</f>
        <v>58108.5</v>
      </c>
      <c r="B50" s="0" t="n">
        <f aca="false">B49+1</f>
        <v>102</v>
      </c>
      <c r="C50" s="0" t="n">
        <f aca="false">C49+1</f>
        <v>92.0862422997947</v>
      </c>
      <c r="D50" s="0" t="n">
        <f aca="false">IF(AND(R50&gt;Q50,R50&gt;O50),62,IF(Q50&gt;O50,"FRA",70))</f>
        <v>70</v>
      </c>
      <c r="G50" s="6" t="n">
        <f aca="false">G49+12*HLOOKUP(VLOOKUP($G$8,$J$1:$K$2,2,0),$B$1:$C$4,3,0)</f>
        <v>957500</v>
      </c>
      <c r="H50" s="6" t="n">
        <f aca="false">H49+HLOOKUP(VLOOKUP($G$8,$J$1:$K$2,2,0),$B$1:$C$4,2,0)*12</f>
        <v>896700</v>
      </c>
      <c r="I50" s="6" t="n">
        <f aca="false">I49+HLOOKUP(VLOOKUP($G$8,$J$1:$K$2,2,0),$B$1:$C$4,4,0)*12</f>
        <v>574800</v>
      </c>
      <c r="J50" s="6" t="n">
        <f aca="false">J49+12*0.325*HLOOKUP(VLOOKUP($L$8,$J$1:$K$2,2,0),$B$1:$C$4,2,0)</f>
        <v>404755</v>
      </c>
      <c r="K50" s="6" t="n">
        <f aca="false">K49+12*0.5*HLOOKUP(VLOOKUP($L$8,$J$1:$K$2,2,0),$B$1:$C$4,2,0)</f>
        <v>575900</v>
      </c>
      <c r="L50" s="6" t="n">
        <f aca="false">IF($C50&gt;=70.083,IF(L49=0,IF(DAY(MAX($G$1,$G$3))=1,12,11)*HLOOKUP(VLOOKUP($L$8,$J$1:$K$2,2,0),$B$1:$C$4,3,0),L49+12*HLOOKUP(VLOOKUP($L$8,$J$1:$K$2,2,0),$B$1:$C$4,3,0)),0)</f>
        <v>825000</v>
      </c>
      <c r="M50" s="6" t="n">
        <f aca="false">IF($C50&gt;=(66+1/3),IF(M49=0,IF(DAY(MAX($G$1,$G$3))=1,8,7)*HLOOKUP(VLOOKUP($L$8,$J$1:$K$2,2,0),$B$1:$C$4,2,0),M49+12*HLOOKUP(VLOOKUP($L$8,$J$1:$K$2,2,0),$B$1:$C$4,2,0)),0)</f>
        <v>798200</v>
      </c>
      <c r="N50" s="6" t="n">
        <f aca="false">IF($C50&gt;=62.083,IF(N49=0,IF(DAY(MAX($G$1,$G$3))=1,12,11)*HLOOKUP(VLOOKUP($L$8,$J$1:$K$2,2,0),$B$1:$C$4,4,0),N49+12*HLOOKUP(VLOOKUP($L$8,$J$1:$K$2,2,0),$B$1:$C$4,4,0)),0)</f>
        <v>630700</v>
      </c>
      <c r="O50" s="6" t="n">
        <f aca="false">IF($C50&gt;=62.083,IF(O49=0,IF(DAY(MAX($G$1,$G$3))=1,12,11)*0.325*HLOOKUP(VLOOKUP($G$8,$J$1:$K$2,2,0),$B$1:$C$4,2,0),O49+12*0.325*HLOOKUP(VLOOKUP($G$8,$J$1:$K$2,2,0),$B$1:$C$4,2,0)),0)</f>
        <v>253207.5</v>
      </c>
      <c r="P50" s="6" t="n">
        <f aca="false">IF($C50&gt;=(66+1/3),IF(P49=0,IF(DAY(MAX($G$1,$G$3))=1,12,11)*0.5*HLOOKUP(VLOOKUP($G$8,$J$1:$K$2,2,0),$B$1:$C$4,2,0),P49+12*0.5*HLOOKUP(VLOOKUP($G$8,$J$1:$K$2,2,0),$B$1:$C$4,2,0)),0)</f>
        <v>322350</v>
      </c>
      <c r="Q50" s="6"/>
      <c r="R50" s="6"/>
    </row>
    <row r="51" customFormat="false" ht="15" hidden="false" customHeight="false" outlineLevel="0" collapsed="false">
      <c r="A51" s="2" t="n">
        <f aca="false">A50+365.25</f>
        <v>58473.75</v>
      </c>
      <c r="B51" s="0" t="n">
        <f aca="false">B50+1</f>
        <v>103</v>
      </c>
      <c r="C51" s="0" t="n">
        <f aca="false">C50+1</f>
        <v>93.0862422997947</v>
      </c>
      <c r="D51" s="0" t="n">
        <f aca="false">IF(AND(R51&gt;Q51,R51&gt;O51),62,IF(Q51&gt;O51,"FRA",70))</f>
        <v>70</v>
      </c>
      <c r="G51" s="6" t="n">
        <f aca="false">G50+12*HLOOKUP(VLOOKUP($G$8,$J$1:$K$2,2,0),$B$1:$C$4,3,0)</f>
        <v>987500</v>
      </c>
      <c r="H51" s="6" t="n">
        <f aca="false">H50+HLOOKUP(VLOOKUP($G$8,$J$1:$K$2,2,0),$B$1:$C$4,2,0)*12</f>
        <v>921900</v>
      </c>
      <c r="I51" s="6" t="n">
        <f aca="false">I50+HLOOKUP(VLOOKUP($G$8,$J$1:$K$2,2,0),$B$1:$C$4,4,0)*12</f>
        <v>589200</v>
      </c>
      <c r="J51" s="6" t="n">
        <f aca="false">J50+12*0.325*HLOOKUP(VLOOKUP($L$8,$J$1:$K$2,2,0),$B$1:$C$4,2,0)</f>
        <v>414895</v>
      </c>
      <c r="K51" s="6" t="n">
        <f aca="false">K50+12*0.5*HLOOKUP(VLOOKUP($L$8,$J$1:$K$2,2,0),$B$1:$C$4,2,0)</f>
        <v>591500</v>
      </c>
      <c r="L51" s="6" t="n">
        <f aca="false">IF($C51&gt;=70.083,IF(L50=0,IF(DAY(MAX($G$1,$G$3))=1,12,11)*HLOOKUP(VLOOKUP($L$8,$J$1:$K$2,2,0),$B$1:$C$4,3,0),L50+12*HLOOKUP(VLOOKUP($L$8,$J$1:$K$2,2,0),$B$1:$C$4,3,0)),0)</f>
        <v>861000</v>
      </c>
      <c r="M51" s="6" t="n">
        <f aca="false">IF($C51&gt;=(66+1/3),IF(M50=0,IF(DAY(MAX($G$1,$G$3))=1,8,7)*HLOOKUP(VLOOKUP($L$8,$J$1:$K$2,2,0),$B$1:$C$4,2,0),M50+12*HLOOKUP(VLOOKUP($L$8,$J$1:$K$2,2,0),$B$1:$C$4,2,0)),0)</f>
        <v>829400</v>
      </c>
      <c r="N51" s="6" t="n">
        <f aca="false">IF($C51&gt;=62.083,IF(N50=0,IF(DAY(MAX($G$1,$G$3))=1,12,11)*HLOOKUP(VLOOKUP($L$8,$J$1:$K$2,2,0),$B$1:$C$4,4,0),N50+12*HLOOKUP(VLOOKUP($L$8,$J$1:$K$2,2,0),$B$1:$C$4,4,0)),0)</f>
        <v>651100</v>
      </c>
      <c r="O51" s="6" t="n">
        <f aca="false">IF($C51&gt;=62.083,IF(O50=0,IF(DAY(MAX($G$1,$G$3))=1,12,11)*0.325*HLOOKUP(VLOOKUP($G$8,$J$1:$K$2,2,0),$B$1:$C$4,2,0),O50+12*0.325*HLOOKUP(VLOOKUP($G$8,$J$1:$K$2,2,0),$B$1:$C$4,2,0)),0)</f>
        <v>261397.5</v>
      </c>
      <c r="P51" s="6" t="n">
        <f aca="false">IF($C51&gt;=(66+1/3),IF(P50=0,IF(DAY(MAX($G$1,$G$3))=1,12,11)*0.5*HLOOKUP(VLOOKUP($G$8,$J$1:$K$2,2,0),$B$1:$C$4,2,0),P50+12*0.5*HLOOKUP(VLOOKUP($G$8,$J$1:$K$2,2,0),$B$1:$C$4,2,0)),0)</f>
        <v>334950</v>
      </c>
      <c r="Q51" s="6"/>
      <c r="R51" s="6"/>
    </row>
    <row r="52" customFormat="false" ht="15" hidden="false" customHeight="false" outlineLevel="0" collapsed="false">
      <c r="A52" s="2" t="n">
        <f aca="false">A51+365.25</f>
        <v>58839</v>
      </c>
      <c r="B52" s="0" t="n">
        <f aca="false">B51+1</f>
        <v>104</v>
      </c>
      <c r="C52" s="0" t="n">
        <f aca="false">C51+1</f>
        <v>94.0862422997947</v>
      </c>
      <c r="D52" s="0" t="n">
        <f aca="false">IF(AND(R52&gt;Q52,R52&gt;O52),62,IF(Q52&gt;O52,"FRA",70))</f>
        <v>70</v>
      </c>
      <c r="G52" s="6" t="n">
        <f aca="false">G51+12*HLOOKUP(VLOOKUP($G$8,$J$1:$K$2,2,0),$B$1:$C$4,3,0)</f>
        <v>1017500</v>
      </c>
      <c r="H52" s="6" t="n">
        <f aca="false">H51+HLOOKUP(VLOOKUP($G$8,$J$1:$K$2,2,0),$B$1:$C$4,2,0)*12</f>
        <v>947100</v>
      </c>
      <c r="I52" s="6" t="n">
        <f aca="false">I51+HLOOKUP(VLOOKUP($G$8,$J$1:$K$2,2,0),$B$1:$C$4,4,0)*12</f>
        <v>603600</v>
      </c>
      <c r="J52" s="6" t="n">
        <f aca="false">J51+12*0.325*HLOOKUP(VLOOKUP($L$8,$J$1:$K$2,2,0),$B$1:$C$4,2,0)</f>
        <v>425035</v>
      </c>
      <c r="K52" s="6" t="n">
        <f aca="false">K51+12*0.5*HLOOKUP(VLOOKUP($L$8,$J$1:$K$2,2,0),$B$1:$C$4,2,0)</f>
        <v>607100</v>
      </c>
      <c r="L52" s="6" t="n">
        <f aca="false">IF($C52&gt;=70.083,IF(L51=0,IF(DAY(MAX($G$1,$G$3))=1,12,11)*HLOOKUP(VLOOKUP($L$8,$J$1:$K$2,2,0),$B$1:$C$4,3,0),L51+12*HLOOKUP(VLOOKUP($L$8,$J$1:$K$2,2,0),$B$1:$C$4,3,0)),0)</f>
        <v>897000</v>
      </c>
      <c r="M52" s="6" t="n">
        <f aca="false">IF($C52&gt;=(66+1/3),IF(M51=0,IF(DAY(MAX($G$1,$G$3))=1,8,7)*HLOOKUP(VLOOKUP($L$8,$J$1:$K$2,2,0),$B$1:$C$4,2,0),M51+12*HLOOKUP(VLOOKUP($L$8,$J$1:$K$2,2,0),$B$1:$C$4,2,0)),0)</f>
        <v>860600</v>
      </c>
      <c r="N52" s="6" t="n">
        <f aca="false">IF($C52&gt;=62.083,IF(N51=0,IF(DAY(MAX($G$1,$G$3))=1,12,11)*HLOOKUP(VLOOKUP($L$8,$J$1:$K$2,2,0),$B$1:$C$4,4,0),N51+12*HLOOKUP(VLOOKUP($L$8,$J$1:$K$2,2,0),$B$1:$C$4,4,0)),0)</f>
        <v>671500</v>
      </c>
      <c r="O52" s="6" t="n">
        <f aca="false">IF($C52&gt;=62.083,IF(O51=0,IF(DAY(MAX($G$1,$G$3))=1,12,11)*0.325*HLOOKUP(VLOOKUP($G$8,$J$1:$K$2,2,0),$B$1:$C$4,2,0),O51+12*0.325*HLOOKUP(VLOOKUP($G$8,$J$1:$K$2,2,0),$B$1:$C$4,2,0)),0)</f>
        <v>269587.5</v>
      </c>
      <c r="P52" s="6" t="n">
        <f aca="false">IF($C52&gt;=(66+1/3),IF(P51=0,IF(DAY(MAX($G$1,$G$3))=1,12,11)*0.5*HLOOKUP(VLOOKUP($G$8,$J$1:$K$2,2,0),$B$1:$C$4,2,0),P51+12*0.5*HLOOKUP(VLOOKUP($G$8,$J$1:$K$2,2,0),$B$1:$C$4,2,0)),0)</f>
        <v>347550</v>
      </c>
      <c r="Q52" s="6"/>
      <c r="R52" s="6"/>
    </row>
    <row r="53" customFormat="false" ht="15" hidden="false" customHeight="false" outlineLevel="0" collapsed="false">
      <c r="A53" s="2" t="n">
        <f aca="false">A52+365.25</f>
        <v>59204.25</v>
      </c>
      <c r="B53" s="0" t="n">
        <f aca="false">B52+1</f>
        <v>105</v>
      </c>
      <c r="C53" s="0" t="n">
        <f aca="false">C52+1</f>
        <v>95.0862422997947</v>
      </c>
      <c r="D53" s="0" t="n">
        <f aca="false">IF(AND(R53&gt;Q53,R53&gt;O53),62,IF(Q53&gt;O53,"FRA",70))</f>
        <v>70</v>
      </c>
      <c r="G53" s="6" t="n">
        <f aca="false">G52+12*HLOOKUP(VLOOKUP($G$8,$J$1:$K$2,2,0),$B$1:$C$4,3,0)</f>
        <v>1047500</v>
      </c>
      <c r="H53" s="6" t="n">
        <f aca="false">H52+HLOOKUP(VLOOKUP($G$8,$J$1:$K$2,2,0),$B$1:$C$4,2,0)*12</f>
        <v>972300</v>
      </c>
      <c r="I53" s="6" t="n">
        <f aca="false">I52+HLOOKUP(VLOOKUP($G$8,$J$1:$K$2,2,0),$B$1:$C$4,4,0)*12</f>
        <v>618000</v>
      </c>
      <c r="J53" s="6" t="n">
        <f aca="false">J52+12*0.325*HLOOKUP(VLOOKUP($L$8,$J$1:$K$2,2,0),$B$1:$C$4,2,0)</f>
        <v>435175</v>
      </c>
      <c r="K53" s="6" t="n">
        <f aca="false">K52+12*0.5*HLOOKUP(VLOOKUP($L$8,$J$1:$K$2,2,0),$B$1:$C$4,2,0)</f>
        <v>622700</v>
      </c>
      <c r="L53" s="6" t="n">
        <f aca="false">IF($C53&gt;=70.083,IF(L52=0,IF(DAY(MAX($G$1,$G$3))=1,12,11)*HLOOKUP(VLOOKUP($L$8,$J$1:$K$2,2,0),$B$1:$C$4,3,0),L52+12*HLOOKUP(VLOOKUP($L$8,$J$1:$K$2,2,0),$B$1:$C$4,3,0)),0)</f>
        <v>933000</v>
      </c>
      <c r="M53" s="6" t="n">
        <f aca="false">IF($C53&gt;=(66+1/3),IF(M52=0,IF(DAY(MAX($G$1,$G$3))=1,8,7)*HLOOKUP(VLOOKUP($L$8,$J$1:$K$2,2,0),$B$1:$C$4,2,0),M52+12*HLOOKUP(VLOOKUP($L$8,$J$1:$K$2,2,0),$B$1:$C$4,2,0)),0)</f>
        <v>891800</v>
      </c>
      <c r="N53" s="6" t="n">
        <f aca="false">IF($C53&gt;=62.083,IF(N52=0,IF(DAY(MAX($G$1,$G$3))=1,12,11)*HLOOKUP(VLOOKUP($L$8,$J$1:$K$2,2,0),$B$1:$C$4,4,0),N52+12*HLOOKUP(VLOOKUP($L$8,$J$1:$K$2,2,0),$B$1:$C$4,4,0)),0)</f>
        <v>691900</v>
      </c>
      <c r="O53" s="6" t="n">
        <f aca="false">IF($C53&gt;=62.083,IF(O52=0,IF(DAY(MAX($G$1,$G$3))=1,12,11)*0.325*HLOOKUP(VLOOKUP($G$8,$J$1:$K$2,2,0),$B$1:$C$4,2,0),O52+12*0.325*HLOOKUP(VLOOKUP($G$8,$J$1:$K$2,2,0),$B$1:$C$4,2,0)),0)</f>
        <v>277777.5</v>
      </c>
      <c r="P53" s="6" t="n">
        <f aca="false">IF($C53&gt;=(66+1/3),IF(P52=0,IF(DAY(MAX($G$1,$G$3))=1,12,11)*0.5*HLOOKUP(VLOOKUP($G$8,$J$1:$K$2,2,0),$B$1:$C$4,2,0),P52+12*0.5*HLOOKUP(VLOOKUP($G$8,$J$1:$K$2,2,0),$B$1:$C$4,2,0)),0)</f>
        <v>360150</v>
      </c>
      <c r="Q53" s="6"/>
      <c r="R53" s="6"/>
    </row>
    <row r="54" customFormat="false" ht="15" hidden="false" customHeight="false" outlineLevel="0" collapsed="false">
      <c r="A54" s="2" t="n">
        <f aca="false">A53+365.25</f>
        <v>59569.5</v>
      </c>
      <c r="B54" s="0" t="n">
        <f aca="false">B53+1</f>
        <v>106</v>
      </c>
      <c r="C54" s="0" t="n">
        <f aca="false">C53+1</f>
        <v>96.0862422997947</v>
      </c>
      <c r="D54" s="0" t="n">
        <f aca="false">IF(AND(R54&gt;Q54,R54&gt;O54),62,IF(Q54&gt;O54,"FRA",70))</f>
        <v>70</v>
      </c>
      <c r="G54" s="6" t="n">
        <f aca="false">G53+12*HLOOKUP(VLOOKUP($G$8,$J$1:$K$2,2,0),$B$1:$C$4,3,0)</f>
        <v>1077500</v>
      </c>
      <c r="H54" s="6" t="n">
        <f aca="false">H53+HLOOKUP(VLOOKUP($G$8,$J$1:$K$2,2,0),$B$1:$C$4,2,0)*12</f>
        <v>997500</v>
      </c>
      <c r="I54" s="6" t="n">
        <f aca="false">I53+HLOOKUP(VLOOKUP($G$8,$J$1:$K$2,2,0),$B$1:$C$4,4,0)*12</f>
        <v>632400</v>
      </c>
      <c r="J54" s="6" t="n">
        <f aca="false">J53+12*0.325*HLOOKUP(VLOOKUP($L$8,$J$1:$K$2,2,0),$B$1:$C$4,2,0)</f>
        <v>445315</v>
      </c>
      <c r="K54" s="6" t="n">
        <f aca="false">K53+12*0.5*HLOOKUP(VLOOKUP($L$8,$J$1:$K$2,2,0),$B$1:$C$4,2,0)</f>
        <v>638300</v>
      </c>
      <c r="L54" s="6" t="n">
        <f aca="false">IF($C54&gt;=70.083,IF(L53=0,IF(DAY(MAX($G$1,$G$3))=1,12,11)*HLOOKUP(VLOOKUP($L$8,$J$1:$K$2,2,0),$B$1:$C$4,3,0),L53+12*HLOOKUP(VLOOKUP($L$8,$J$1:$K$2,2,0),$B$1:$C$4,3,0)),0)</f>
        <v>969000</v>
      </c>
      <c r="M54" s="6" t="n">
        <f aca="false">IF($C54&gt;=(66+1/3),IF(M53=0,IF(DAY(MAX($G$1,$G$3))=1,8,7)*HLOOKUP(VLOOKUP($L$8,$J$1:$K$2,2,0),$B$1:$C$4,2,0),M53+12*HLOOKUP(VLOOKUP($L$8,$J$1:$K$2,2,0),$B$1:$C$4,2,0)),0)</f>
        <v>923000</v>
      </c>
      <c r="N54" s="6" t="n">
        <f aca="false">IF($C54&gt;=62.083,IF(N53=0,IF(DAY(MAX($G$1,$G$3))=1,12,11)*HLOOKUP(VLOOKUP($L$8,$J$1:$K$2,2,0),$B$1:$C$4,4,0),N53+12*HLOOKUP(VLOOKUP($L$8,$J$1:$K$2,2,0),$B$1:$C$4,4,0)),0)</f>
        <v>712300</v>
      </c>
      <c r="O54" s="6" t="n">
        <f aca="false">IF($C54&gt;=62.083,IF(O53=0,IF(DAY(MAX($G$1,$G$3))=1,12,11)*0.325*HLOOKUP(VLOOKUP($G$8,$J$1:$K$2,2,0),$B$1:$C$4,2,0),O53+12*0.325*HLOOKUP(VLOOKUP($G$8,$J$1:$K$2,2,0),$B$1:$C$4,2,0)),0)</f>
        <v>285967.5</v>
      </c>
      <c r="P54" s="6" t="n">
        <f aca="false">IF($C54&gt;=(66+1/3),IF(P53=0,IF(DAY(MAX($G$1,$G$3))=1,12,11)*0.5*HLOOKUP(VLOOKUP($G$8,$J$1:$K$2,2,0),$B$1:$C$4,2,0),P53+12*0.5*HLOOKUP(VLOOKUP($G$8,$J$1:$K$2,2,0),$B$1:$C$4,2,0)),0)</f>
        <v>372750</v>
      </c>
      <c r="Q54" s="6"/>
      <c r="R54" s="6"/>
    </row>
    <row r="55" customFormat="false" ht="15" hidden="false" customHeight="false" outlineLevel="0" collapsed="false">
      <c r="A55" s="2" t="n">
        <f aca="false">A54+365.25</f>
        <v>59934.75</v>
      </c>
      <c r="B55" s="0" t="n">
        <f aca="false">B54+1</f>
        <v>107</v>
      </c>
      <c r="C55" s="0" t="n">
        <f aca="false">C54+1</f>
        <v>97.0862422997947</v>
      </c>
      <c r="D55" s="0" t="n">
        <f aca="false">IF(AND(R55&gt;Q55,R55&gt;O55),62,IF(Q55&gt;O55,"FRA",70))</f>
        <v>70</v>
      </c>
      <c r="G55" s="6" t="n">
        <f aca="false">G54+12*HLOOKUP(VLOOKUP($G$8,$J$1:$K$2,2,0),$B$1:$C$4,3,0)</f>
        <v>1107500</v>
      </c>
      <c r="H55" s="6" t="n">
        <f aca="false">H54+HLOOKUP(VLOOKUP($G$8,$J$1:$K$2,2,0),$B$1:$C$4,2,0)*12</f>
        <v>1022700</v>
      </c>
      <c r="I55" s="6" t="n">
        <f aca="false">I54+HLOOKUP(VLOOKUP($G$8,$J$1:$K$2,2,0),$B$1:$C$4,4,0)*12</f>
        <v>646800</v>
      </c>
      <c r="J55" s="6" t="n">
        <f aca="false">J54+12*0.325*HLOOKUP(VLOOKUP($L$8,$J$1:$K$2,2,0),$B$1:$C$4,2,0)</f>
        <v>455455</v>
      </c>
      <c r="K55" s="6" t="n">
        <f aca="false">K54+12*0.5*HLOOKUP(VLOOKUP($L$8,$J$1:$K$2,2,0),$B$1:$C$4,2,0)</f>
        <v>653900</v>
      </c>
      <c r="L55" s="6" t="n">
        <f aca="false">IF($C55&gt;=70.083,IF(L54=0,IF(DAY(MAX($G$1,$G$3))=1,12,11)*HLOOKUP(VLOOKUP($L$8,$J$1:$K$2,2,0),$B$1:$C$4,3,0),L54+12*HLOOKUP(VLOOKUP($L$8,$J$1:$K$2,2,0),$B$1:$C$4,3,0)),0)</f>
        <v>1005000</v>
      </c>
      <c r="M55" s="6" t="n">
        <f aca="false">IF($C55&gt;=(66+1/3),IF(M54=0,IF(DAY(MAX($G$1,$G$3))=1,8,7)*HLOOKUP(VLOOKUP($L$8,$J$1:$K$2,2,0),$B$1:$C$4,2,0),M54+12*HLOOKUP(VLOOKUP($L$8,$J$1:$K$2,2,0),$B$1:$C$4,2,0)),0)</f>
        <v>954200</v>
      </c>
      <c r="N55" s="6" t="n">
        <f aca="false">IF($C55&gt;=62.083,IF(N54=0,IF(DAY(MAX($G$1,$G$3))=1,12,11)*HLOOKUP(VLOOKUP($L$8,$J$1:$K$2,2,0),$B$1:$C$4,4,0),N54+12*HLOOKUP(VLOOKUP($L$8,$J$1:$K$2,2,0),$B$1:$C$4,4,0)),0)</f>
        <v>732700</v>
      </c>
      <c r="O55" s="6" t="n">
        <f aca="false">IF($C55&gt;=62.083,IF(O54=0,IF(DAY(MAX($G$1,$G$3))=1,12,11)*0.325*HLOOKUP(VLOOKUP($G$8,$J$1:$K$2,2,0),$B$1:$C$4,2,0),O54+12*0.325*HLOOKUP(VLOOKUP($G$8,$J$1:$K$2,2,0),$B$1:$C$4,2,0)),0)</f>
        <v>294157.5</v>
      </c>
      <c r="P55" s="6" t="n">
        <f aca="false">IF($C55&gt;=(66+1/3),IF(P54=0,IF(DAY(MAX($G$1,$G$3))=1,12,11)*0.5*HLOOKUP(VLOOKUP($G$8,$J$1:$K$2,2,0),$B$1:$C$4,2,0),P54+12*0.5*HLOOKUP(VLOOKUP($G$8,$J$1:$K$2,2,0),$B$1:$C$4,2,0)),0)</f>
        <v>385350</v>
      </c>
      <c r="Q55" s="6"/>
      <c r="R55" s="6"/>
    </row>
    <row r="56" customFormat="false" ht="15" hidden="false" customHeight="false" outlineLevel="0" collapsed="false">
      <c r="A56" s="2" t="n">
        <f aca="false">A55+365.25</f>
        <v>60300</v>
      </c>
      <c r="B56" s="0" t="n">
        <f aca="false">B55+1</f>
        <v>108</v>
      </c>
      <c r="C56" s="0" t="n">
        <f aca="false">C55+1</f>
        <v>98.0862422997947</v>
      </c>
      <c r="D56" s="0" t="n">
        <f aca="false">IF(AND(R56&gt;Q56,R56&gt;O56),62,IF(Q56&gt;O56,"FRA",70))</f>
        <v>70</v>
      </c>
      <c r="G56" s="6" t="n">
        <f aca="false">G55+12*HLOOKUP(VLOOKUP($G$8,$J$1:$K$2,2,0),$B$1:$C$4,3,0)</f>
        <v>1137500</v>
      </c>
      <c r="H56" s="6" t="n">
        <f aca="false">H55+HLOOKUP(VLOOKUP($G$8,$J$1:$K$2,2,0),$B$1:$C$4,2,0)*12</f>
        <v>1047900</v>
      </c>
      <c r="I56" s="6" t="n">
        <f aca="false">I55+HLOOKUP(VLOOKUP($G$8,$J$1:$K$2,2,0),$B$1:$C$4,4,0)*12</f>
        <v>661200</v>
      </c>
      <c r="J56" s="6" t="n">
        <f aca="false">J55+12*0.325*HLOOKUP(VLOOKUP($L$8,$J$1:$K$2,2,0),$B$1:$C$4,2,0)</f>
        <v>465595</v>
      </c>
      <c r="K56" s="6" t="n">
        <f aca="false">K55+12*0.5*HLOOKUP(VLOOKUP($L$8,$J$1:$K$2,2,0),$B$1:$C$4,2,0)</f>
        <v>669500</v>
      </c>
      <c r="L56" s="6" t="n">
        <f aca="false">IF($C56&gt;=70.083,IF(L55=0,IF(DAY(MAX($G$1,$G$3))=1,12,11)*HLOOKUP(VLOOKUP($L$8,$J$1:$K$2,2,0),$B$1:$C$4,3,0),L55+12*HLOOKUP(VLOOKUP($L$8,$J$1:$K$2,2,0),$B$1:$C$4,3,0)),0)</f>
        <v>1041000</v>
      </c>
      <c r="M56" s="6" t="n">
        <f aca="false">IF($C56&gt;=(66+1/3),IF(M55=0,IF(DAY(MAX($G$1,$G$3))=1,8,7)*HLOOKUP(VLOOKUP($L$8,$J$1:$K$2,2,0),$B$1:$C$4,2,0),M55+12*HLOOKUP(VLOOKUP($L$8,$J$1:$K$2,2,0),$B$1:$C$4,2,0)),0)</f>
        <v>985400</v>
      </c>
      <c r="N56" s="6" t="n">
        <f aca="false">IF($C56&gt;=62.083,IF(N55=0,IF(DAY(MAX($G$1,$G$3))=1,12,11)*HLOOKUP(VLOOKUP($L$8,$J$1:$K$2,2,0),$B$1:$C$4,4,0),N55+12*HLOOKUP(VLOOKUP($L$8,$J$1:$K$2,2,0),$B$1:$C$4,4,0)),0)</f>
        <v>753100</v>
      </c>
      <c r="O56" s="6" t="n">
        <f aca="false">IF($C56&gt;=62.083,IF(O55=0,IF(DAY(MAX($G$1,$G$3))=1,12,11)*0.325*HLOOKUP(VLOOKUP($G$8,$J$1:$K$2,2,0),$B$1:$C$4,2,0),O55+12*0.325*HLOOKUP(VLOOKUP($G$8,$J$1:$K$2,2,0),$B$1:$C$4,2,0)),0)</f>
        <v>302347.5</v>
      </c>
      <c r="P56" s="6" t="n">
        <f aca="false">IF($C56&gt;=(66+1/3),IF(P55=0,IF(DAY(MAX($G$1,$G$3))=1,12,11)*0.5*HLOOKUP(VLOOKUP($G$8,$J$1:$K$2,2,0),$B$1:$C$4,2,0),P55+12*0.5*HLOOKUP(VLOOKUP($G$8,$J$1:$K$2,2,0),$B$1:$C$4,2,0)),0)</f>
        <v>397950</v>
      </c>
      <c r="Q56" s="6"/>
      <c r="R56" s="6"/>
    </row>
    <row r="57" customFormat="false" ht="15" hidden="false" customHeight="false" outlineLevel="0" collapsed="false">
      <c r="A57" s="2" t="n">
        <f aca="false">A56+365.25</f>
        <v>60665.25</v>
      </c>
      <c r="B57" s="0" t="n">
        <f aca="false">B56+1</f>
        <v>109</v>
      </c>
      <c r="C57" s="0" t="n">
        <f aca="false">C56+1</f>
        <v>99.0862422997947</v>
      </c>
      <c r="D57" s="0" t="n">
        <f aca="false">IF(AND(R57&gt;Q57,R57&gt;O57),62,IF(Q57&gt;O57,"FRA",70))</f>
        <v>70</v>
      </c>
      <c r="G57" s="6" t="n">
        <f aca="false">G56+12*HLOOKUP(VLOOKUP($G$8,$J$1:$K$2,2,0),$B$1:$C$4,3,0)</f>
        <v>1167500</v>
      </c>
      <c r="H57" s="6" t="n">
        <f aca="false">H56+HLOOKUP(VLOOKUP($G$8,$J$1:$K$2,2,0),$B$1:$C$4,2,0)*12</f>
        <v>1073100</v>
      </c>
      <c r="I57" s="6" t="n">
        <f aca="false">I56+HLOOKUP(VLOOKUP($G$8,$J$1:$K$2,2,0),$B$1:$C$4,4,0)*12</f>
        <v>675600</v>
      </c>
      <c r="J57" s="6" t="n">
        <f aca="false">J56+12*0.325*HLOOKUP(VLOOKUP($L$8,$J$1:$K$2,2,0),$B$1:$C$4,2,0)</f>
        <v>475735</v>
      </c>
      <c r="K57" s="6" t="n">
        <f aca="false">K56+12*0.5*HLOOKUP(VLOOKUP($L$8,$J$1:$K$2,2,0),$B$1:$C$4,2,0)</f>
        <v>685100</v>
      </c>
      <c r="L57" s="6" t="n">
        <f aca="false">IF($C57&gt;=70.083,IF(L56=0,IF(DAY(MAX($G$1,$G$3))=1,12,11)*HLOOKUP(VLOOKUP($L$8,$J$1:$K$2,2,0),$B$1:$C$4,3,0),L56+12*HLOOKUP(VLOOKUP($L$8,$J$1:$K$2,2,0),$B$1:$C$4,3,0)),0)</f>
        <v>1077000</v>
      </c>
      <c r="M57" s="6" t="n">
        <f aca="false">IF($C57&gt;=(66+1/3),IF(M56=0,IF(DAY(MAX($G$1,$G$3))=1,8,7)*HLOOKUP(VLOOKUP($L$8,$J$1:$K$2,2,0),$B$1:$C$4,2,0),M56+12*HLOOKUP(VLOOKUP($L$8,$J$1:$K$2,2,0),$B$1:$C$4,2,0)),0)</f>
        <v>1016600</v>
      </c>
      <c r="N57" s="6" t="n">
        <f aca="false">IF($C57&gt;=62.083,IF(N56=0,IF(DAY(MAX($G$1,$G$3))=1,12,11)*HLOOKUP(VLOOKUP($L$8,$J$1:$K$2,2,0),$B$1:$C$4,4,0),N56+12*HLOOKUP(VLOOKUP($L$8,$J$1:$K$2,2,0),$B$1:$C$4,4,0)),0)</f>
        <v>773500</v>
      </c>
      <c r="O57" s="6" t="n">
        <f aca="false">IF($C57&gt;=62.083,IF(O56=0,IF(DAY(MAX($G$1,$G$3))=1,12,11)*0.325*HLOOKUP(VLOOKUP($G$8,$J$1:$K$2,2,0),$B$1:$C$4,2,0),O56+12*0.325*HLOOKUP(VLOOKUP($G$8,$J$1:$K$2,2,0),$B$1:$C$4,2,0)),0)</f>
        <v>310537.5</v>
      </c>
      <c r="P57" s="6" t="n">
        <f aca="false">IF($C57&gt;=(66+1/3),IF(P56=0,IF(DAY(MAX($G$1,$G$3))=1,12,11)*0.5*HLOOKUP(VLOOKUP($G$8,$J$1:$K$2,2,0),$B$1:$C$4,2,0),P56+12*0.5*HLOOKUP(VLOOKUP($G$8,$J$1:$K$2,2,0),$B$1:$C$4,2,0)),0)</f>
        <v>410550</v>
      </c>
      <c r="Q57" s="6"/>
      <c r="R57" s="6"/>
    </row>
    <row r="58" customFormat="false" ht="15" hidden="false" customHeight="false" outlineLevel="0" collapsed="false">
      <c r="A58" s="2" t="n">
        <f aca="false">A57+365.25</f>
        <v>61030.5</v>
      </c>
      <c r="B58" s="0" t="n">
        <f aca="false">B57+1</f>
        <v>110</v>
      </c>
      <c r="C58" s="0" t="n">
        <f aca="false">C57+1</f>
        <v>100.086242299795</v>
      </c>
      <c r="D58" s="0" t="n">
        <f aca="false">IF(AND(R58&gt;Q58,R58&gt;O58),62,IF(Q58&gt;O58,"FRA",70))</f>
        <v>70</v>
      </c>
      <c r="G58" s="6" t="n">
        <f aca="false">G57+12*HLOOKUP(VLOOKUP($G$8,$J$1:$K$2,2,0),$B$1:$C$4,3,0)</f>
        <v>1197500</v>
      </c>
      <c r="H58" s="6" t="n">
        <f aca="false">H57+HLOOKUP(VLOOKUP($G$8,$J$1:$K$2,2,0),$B$1:$C$4,2,0)*12</f>
        <v>1098300</v>
      </c>
      <c r="I58" s="6" t="n">
        <f aca="false">I57+HLOOKUP(VLOOKUP($G$8,$J$1:$K$2,2,0),$B$1:$C$4,4,0)*12</f>
        <v>690000</v>
      </c>
      <c r="J58" s="6" t="n">
        <f aca="false">J57+12*0.325*HLOOKUP(VLOOKUP($L$8,$J$1:$K$2,2,0),$B$1:$C$4,2,0)</f>
        <v>485875</v>
      </c>
      <c r="K58" s="6" t="n">
        <f aca="false">K57+12*0.5*HLOOKUP(VLOOKUP($L$8,$J$1:$K$2,2,0),$B$1:$C$4,2,0)</f>
        <v>700700</v>
      </c>
      <c r="L58" s="6" t="n">
        <f aca="false">IF($C58&gt;=70.083,IF(L57=0,IF(DAY(MAX($G$1,$G$3))=1,12,11)*HLOOKUP(VLOOKUP($L$8,$J$1:$K$2,2,0),$B$1:$C$4,3,0),L57+12*HLOOKUP(VLOOKUP($L$8,$J$1:$K$2,2,0),$B$1:$C$4,3,0)),0)</f>
        <v>1113000</v>
      </c>
      <c r="M58" s="6" t="n">
        <f aca="false">IF($C58&gt;=(66+1/3),IF(M57=0,IF(DAY(MAX($G$1,$G$3))=1,8,7)*HLOOKUP(VLOOKUP($L$8,$J$1:$K$2,2,0),$B$1:$C$4,2,0),M57+12*HLOOKUP(VLOOKUP($L$8,$J$1:$K$2,2,0),$B$1:$C$4,2,0)),0)</f>
        <v>1047800</v>
      </c>
      <c r="N58" s="6" t="n">
        <f aca="false">IF($C58&gt;=62.083,IF(N57=0,IF(DAY(MAX($G$1,$G$3))=1,12,11)*HLOOKUP(VLOOKUP($L$8,$J$1:$K$2,2,0),$B$1:$C$4,4,0),N57+12*HLOOKUP(VLOOKUP($L$8,$J$1:$K$2,2,0),$B$1:$C$4,4,0)),0)</f>
        <v>793900</v>
      </c>
      <c r="O58" s="6" t="n">
        <f aca="false">IF($C58&gt;=62.083,IF(O57=0,IF(DAY(MAX($G$1,$G$3))=1,12,11)*0.325*HLOOKUP(VLOOKUP($G$8,$J$1:$K$2,2,0),$B$1:$C$4,2,0),O57+12*0.325*HLOOKUP(VLOOKUP($G$8,$J$1:$K$2,2,0),$B$1:$C$4,2,0)),0)</f>
        <v>318727.5</v>
      </c>
      <c r="P58" s="6" t="n">
        <f aca="false">IF($C58&gt;=(66+1/3),IF(P57=0,IF(DAY(MAX($G$1,$G$3))=1,12,11)*0.5*HLOOKUP(VLOOKUP($G$8,$J$1:$K$2,2,0),$B$1:$C$4,2,0),P57+12*0.5*HLOOKUP(VLOOKUP($G$8,$J$1:$K$2,2,0),$B$1:$C$4,2,0)),0)</f>
        <v>423150</v>
      </c>
      <c r="Q58" s="6"/>
      <c r="R58" s="6"/>
    </row>
  </sheetData>
  <mergeCells count="4">
    <mergeCell ref="E1:F1"/>
    <mergeCell ref="E2:F2"/>
    <mergeCell ref="E3:F3"/>
    <mergeCell ref="E4:F4"/>
  </mergeCells>
  <conditionalFormatting sqref="C8">
    <cfRule type="expression" priority="2" aboveAverage="0" equalAverage="0" bottom="0" percent="0" rank="0" text="" dxfId="0">
      <formula>$D8=70</formula>
    </cfRule>
    <cfRule type="expression" priority="3" aboveAverage="0" equalAverage="0" bottom="0" percent="0" rank="0" text="" dxfId="1">
      <formula>$D8="FRA"</formula>
    </cfRule>
    <cfRule type="expression" priority="4" aboveAverage="0" equalAverage="0" bottom="0" percent="0" rank="0" text="" dxfId="2">
      <formula>$D8=62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14.5668016194332"/>
    <col collapsed="false" hidden="false" max="2" min="2" style="0" width="31"/>
    <col collapsed="false" hidden="false" max="3" min="3" style="0" width="7.4251012145749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34</v>
      </c>
      <c r="B1" s="0" t="s">
        <v>35</v>
      </c>
      <c r="C1" s="0" t="s">
        <v>2</v>
      </c>
      <c r="E1" s="0" t="s">
        <v>36</v>
      </c>
    </row>
    <row r="2" customFormat="false" ht="15" hidden="false" customHeight="false" outlineLevel="0" collapsed="false">
      <c r="A2" s="0" t="n">
        <v>62</v>
      </c>
      <c r="B2" s="7" t="n">
        <v>0.7</v>
      </c>
      <c r="C2" s="7" t="n">
        <v>0.325</v>
      </c>
    </row>
    <row r="3" customFormat="false" ht="15" hidden="false" customHeight="false" outlineLevel="0" collapsed="false">
      <c r="A3" s="0" t="n">
        <v>63</v>
      </c>
      <c r="B3" s="0" t="n">
        <v>75</v>
      </c>
      <c r="C3" s="0" t="n">
        <v>35</v>
      </c>
    </row>
    <row r="4" customFormat="false" ht="15" hidden="false" customHeight="false" outlineLevel="0" collapsed="false">
      <c r="A4" s="0" t="n">
        <v>64</v>
      </c>
      <c r="B4" s="0" t="n">
        <v>80</v>
      </c>
      <c r="C4" s="0" t="n">
        <v>37.5</v>
      </c>
    </row>
    <row r="5" customFormat="false" ht="15" hidden="false" customHeight="false" outlineLevel="0" collapsed="false">
      <c r="A5" s="0" t="n">
        <v>65</v>
      </c>
      <c r="B5" s="0" t="n">
        <v>86.7</v>
      </c>
      <c r="C5" s="0" t="n">
        <v>41.7</v>
      </c>
    </row>
    <row r="6" customFormat="false" ht="15" hidden="false" customHeight="false" outlineLevel="0" collapsed="false">
      <c r="A6" s="0" t="n">
        <v>66</v>
      </c>
      <c r="B6" s="0" t="n">
        <v>93.3</v>
      </c>
      <c r="C6" s="0" t="n">
        <v>45.8</v>
      </c>
    </row>
    <row r="7" customFormat="false" ht="15" hidden="false" customHeight="false" outlineLevel="0" collapsed="false">
      <c r="A7" s="0" t="n">
        <v>67</v>
      </c>
      <c r="B7" s="0" t="n">
        <v>100</v>
      </c>
      <c r="C7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RowHeight="13.8"/>
  <cols>
    <col collapsed="false" hidden="false" max="1" min="1" style="0" width="20.3967611336032"/>
    <col collapsed="false" hidden="false" max="2" min="2" style="0" width="9.1417004048583"/>
    <col collapsed="false" hidden="false" max="3" min="3" style="0" width="15.4251012145749"/>
    <col collapsed="false" hidden="false" max="6" min="4" style="0" width="10.2834008097166"/>
    <col collapsed="false" hidden="false" max="7" min="7" style="0" width="5.1417004048583"/>
    <col collapsed="false" hidden="false" max="8" min="8" style="0" width="15.4251012145749"/>
    <col collapsed="false" hidden="false" max="11" min="9" style="0" width="10.2834008097166"/>
    <col collapsed="false" hidden="false" max="12" min="12" style="0" width="9.1417004048583"/>
    <col collapsed="false" hidden="false" max="13" min="13" style="0" width="5.1417004048583"/>
    <col collapsed="false" hidden="false" max="14" min="14" style="0" width="15.4251012145749"/>
    <col collapsed="false" hidden="false" max="17" min="15" style="0" width="10.2834008097166"/>
    <col collapsed="false" hidden="false" max="1025" min="18" style="0" width="9.1417004048583"/>
  </cols>
  <sheetData>
    <row r="1" customFormat="false" ht="13.8" hidden="false" customHeight="false" outlineLevel="0" collapsed="false">
      <c r="A1" s="8" t="s">
        <v>37</v>
      </c>
      <c r="C1" s="9"/>
      <c r="D1" s="0" t="s">
        <v>38</v>
      </c>
    </row>
    <row r="2" customFormat="false" ht="13.8" hidden="false" customHeight="false" outlineLevel="0" collapsed="false">
      <c r="A2" s="0" t="s">
        <v>39</v>
      </c>
      <c r="C2" s="10" t="s">
        <v>40</v>
      </c>
      <c r="D2" s="11" t="n">
        <v>62</v>
      </c>
      <c r="E2" s="12" t="s">
        <v>41</v>
      </c>
      <c r="F2" s="11" t="n">
        <v>70</v>
      </c>
    </row>
    <row r="3" customFormat="false" ht="13.8" hidden="false" customHeight="false" outlineLevel="0" collapsed="false">
      <c r="A3" s="0" t="s">
        <v>42</v>
      </c>
      <c r="C3" s="9" t="s">
        <v>43</v>
      </c>
      <c r="E3" s="13"/>
    </row>
    <row r="4" customFormat="false" ht="13.8" hidden="false" customHeight="false" outlineLevel="0" collapsed="false">
      <c r="C4" s="9" t="s">
        <v>44</v>
      </c>
    </row>
    <row r="5" customFormat="false" ht="13.8" hidden="false" customHeight="false" outlineLevel="0" collapsed="false">
      <c r="A5" s="8" t="s">
        <v>45</v>
      </c>
      <c r="C5" s="9"/>
    </row>
    <row r="6" customFormat="false" ht="13.8" hidden="false" customHeight="false" outlineLevel="0" collapsed="false">
      <c r="A6" s="14" t="s">
        <v>46</v>
      </c>
      <c r="C6" s="15" t="s">
        <v>47</v>
      </c>
      <c r="H6" s="15" t="s">
        <v>48</v>
      </c>
      <c r="N6" s="15" t="s">
        <v>49</v>
      </c>
    </row>
    <row r="7" customFormat="false" ht="13.8" hidden="false" customHeight="false" outlineLevel="0" collapsed="false">
      <c r="A7" s="0" t="s">
        <v>50</v>
      </c>
      <c r="C7" s="0" t="s">
        <v>51</v>
      </c>
      <c r="H7" s="14" t="s">
        <v>52</v>
      </c>
      <c r="N7" s="14" t="s">
        <v>53</v>
      </c>
    </row>
    <row r="8" customFormat="false" ht="13.8" hidden="false" customHeight="false" outlineLevel="0" collapsed="false">
      <c r="C8" s="14" t="s">
        <v>54</v>
      </c>
      <c r="H8" s="0" t="s">
        <v>55</v>
      </c>
    </row>
    <row r="9" customFormat="false" ht="13.8" hidden="false" customHeight="false" outlineLevel="0" collapsed="false">
      <c r="C9" s="14"/>
    </row>
    <row r="10" customFormat="false" ht="13.8" hidden="false" customHeight="false" outlineLevel="0" collapsed="false">
      <c r="C10" s="9"/>
      <c r="H10" s="9" t="s">
        <v>56</v>
      </c>
      <c r="N10" s="9"/>
    </row>
    <row r="11" customFormat="false" ht="13.8" hidden="false" customHeight="false" outlineLevel="0" collapsed="false">
      <c r="C11" s="10" t="s">
        <v>40</v>
      </c>
      <c r="D11" s="11" t="n">
        <v>62</v>
      </c>
      <c r="E11" s="12" t="s">
        <v>41</v>
      </c>
      <c r="F11" s="11" t="n">
        <v>70</v>
      </c>
      <c r="H11" s="10" t="s">
        <v>40</v>
      </c>
      <c r="I11" s="11" t="n">
        <v>62</v>
      </c>
      <c r="J11" s="12" t="s">
        <v>41</v>
      </c>
      <c r="K11" s="11" t="n">
        <v>70</v>
      </c>
      <c r="N11" s="10" t="s">
        <v>40</v>
      </c>
      <c r="O11" s="11" t="n">
        <v>62</v>
      </c>
      <c r="P11" s="12" t="s">
        <v>41</v>
      </c>
      <c r="Q11" s="11" t="n">
        <v>70</v>
      </c>
    </row>
    <row r="12" customFormat="false" ht="13.8" hidden="false" customHeight="false" outlineLevel="0" collapsed="false">
      <c r="C12" s="9" t="s">
        <v>43</v>
      </c>
      <c r="D12" s="0" t="s">
        <v>46</v>
      </c>
      <c r="E12" s="13"/>
      <c r="H12" s="9" t="s">
        <v>43</v>
      </c>
      <c r="I12" s="0" t="s">
        <v>57</v>
      </c>
      <c r="N12" s="9" t="s">
        <v>43</v>
      </c>
      <c r="O12" s="0" t="s">
        <v>50</v>
      </c>
      <c r="P12" s="0" t="s">
        <v>46</v>
      </c>
    </row>
    <row r="13" customFormat="false" ht="13.8" hidden="false" customHeight="false" outlineLevel="0" collapsed="false">
      <c r="C13" s="9" t="s">
        <v>44</v>
      </c>
      <c r="D13" s="0" t="s">
        <v>50</v>
      </c>
      <c r="H13" s="9" t="s">
        <v>44</v>
      </c>
      <c r="I13" s="0" t="s">
        <v>46</v>
      </c>
      <c r="N13" s="9" t="s">
        <v>44</v>
      </c>
      <c r="O13" s="0" t="s">
        <v>46</v>
      </c>
    </row>
    <row r="15" customFormat="false" ht="13.8" hidden="false" customHeight="false" outlineLevel="0" collapsed="false">
      <c r="C15" s="9"/>
      <c r="H15" s="9" t="s">
        <v>58</v>
      </c>
      <c r="N15" s="9"/>
    </row>
    <row r="16" customFormat="false" ht="13.8" hidden="false" customHeight="false" outlineLevel="0" collapsed="false">
      <c r="C16" s="10" t="s">
        <v>40</v>
      </c>
      <c r="D16" s="11" t="n">
        <v>62</v>
      </c>
      <c r="E16" s="12" t="s">
        <v>41</v>
      </c>
      <c r="F16" s="11" t="n">
        <v>70</v>
      </c>
      <c r="H16" s="10" t="s">
        <v>40</v>
      </c>
      <c r="I16" s="11" t="n">
        <v>62</v>
      </c>
      <c r="J16" s="12" t="s">
        <v>41</v>
      </c>
      <c r="K16" s="11" t="n">
        <v>70</v>
      </c>
      <c r="N16" s="10" t="s">
        <v>40</v>
      </c>
      <c r="O16" s="11" t="n">
        <v>62</v>
      </c>
      <c r="P16" s="12" t="s">
        <v>41</v>
      </c>
      <c r="Q16" s="11" t="n">
        <v>70</v>
      </c>
    </row>
    <row r="17" customFormat="false" ht="13.8" hidden="false" customHeight="false" outlineLevel="0" collapsed="false">
      <c r="C17" s="9" t="s">
        <v>43</v>
      </c>
      <c r="D17" s="13" t="s">
        <v>46</v>
      </c>
      <c r="H17" s="9" t="s">
        <v>43</v>
      </c>
      <c r="I17" s="0" t="s">
        <v>46</v>
      </c>
      <c r="J17" s="0" t="s">
        <v>50</v>
      </c>
      <c r="N17" s="9" t="s">
        <v>43</v>
      </c>
      <c r="P17" s="0" t="s">
        <v>59</v>
      </c>
    </row>
    <row r="18" customFormat="false" ht="13.8" hidden="false" customHeight="false" outlineLevel="0" collapsed="false">
      <c r="C18" s="9" t="s">
        <v>44</v>
      </c>
      <c r="E18" s="0" t="s">
        <v>50</v>
      </c>
      <c r="H18" s="9" t="s">
        <v>44</v>
      </c>
      <c r="J18" s="0" t="s">
        <v>46</v>
      </c>
      <c r="N18" s="9" t="s">
        <v>44</v>
      </c>
      <c r="P18" s="0" t="s">
        <v>46</v>
      </c>
    </row>
    <row r="20" customFormat="false" ht="13.8" hidden="false" customHeight="false" outlineLevel="0" collapsed="false">
      <c r="C20" s="9"/>
      <c r="H20" s="9" t="s">
        <v>60</v>
      </c>
      <c r="N20" s="9"/>
    </row>
    <row r="21" customFormat="false" ht="13.8" hidden="false" customHeight="false" outlineLevel="0" collapsed="false">
      <c r="C21" s="10" t="s">
        <v>40</v>
      </c>
      <c r="D21" s="11" t="n">
        <v>62</v>
      </c>
      <c r="E21" s="12" t="s">
        <v>41</v>
      </c>
      <c r="F21" s="11" t="n">
        <v>70</v>
      </c>
      <c r="H21" s="10" t="s">
        <v>40</v>
      </c>
      <c r="I21" s="11" t="n">
        <v>62</v>
      </c>
      <c r="J21" s="12" t="s">
        <v>41</v>
      </c>
      <c r="K21" s="11" t="n">
        <v>70</v>
      </c>
      <c r="N21" s="10" t="s">
        <v>40</v>
      </c>
      <c r="O21" s="11" t="n">
        <v>62</v>
      </c>
      <c r="P21" s="12" t="s">
        <v>41</v>
      </c>
      <c r="Q21" s="11" t="n">
        <v>70</v>
      </c>
    </row>
    <row r="22" customFormat="false" ht="13.8" hidden="false" customHeight="false" outlineLevel="0" collapsed="false">
      <c r="C22" s="9" t="s">
        <v>43</v>
      </c>
      <c r="E22" s="13" t="s">
        <v>46</v>
      </c>
      <c r="H22" s="9" t="s">
        <v>43</v>
      </c>
      <c r="I22" s="0" t="s">
        <v>46</v>
      </c>
      <c r="K22" s="0" t="s">
        <v>50</v>
      </c>
      <c r="N22" s="9" t="s">
        <v>43</v>
      </c>
      <c r="P22" s="0" t="s">
        <v>59</v>
      </c>
    </row>
    <row r="23" customFormat="false" ht="13.8" hidden="false" customHeight="false" outlineLevel="0" collapsed="false">
      <c r="C23" s="9" t="s">
        <v>44</v>
      </c>
      <c r="D23" s="0" t="s">
        <v>50</v>
      </c>
      <c r="H23" s="9" t="s">
        <v>44</v>
      </c>
      <c r="K23" s="0" t="s">
        <v>61</v>
      </c>
      <c r="N23" s="9" t="s">
        <v>44</v>
      </c>
      <c r="Q23" s="0" t="s">
        <v>46</v>
      </c>
    </row>
    <row r="24" customFormat="false" ht="13.8" hidden="false" customHeight="false" outlineLevel="0" collapsed="false">
      <c r="N24" s="9"/>
    </row>
    <row r="25" customFormat="false" ht="13.8" hidden="false" customHeight="false" outlineLevel="0" collapsed="false">
      <c r="C25" s="9"/>
      <c r="H25" s="0" t="s">
        <v>62</v>
      </c>
    </row>
    <row r="26" customFormat="false" ht="13.8" hidden="false" customHeight="false" outlineLevel="0" collapsed="false">
      <c r="C26" s="10" t="s">
        <v>40</v>
      </c>
      <c r="D26" s="11" t="n">
        <v>62</v>
      </c>
      <c r="E26" s="12" t="s">
        <v>41</v>
      </c>
      <c r="F26" s="11" t="n">
        <v>70</v>
      </c>
      <c r="H26" s="10" t="s">
        <v>40</v>
      </c>
      <c r="I26" s="11" t="n">
        <v>62</v>
      </c>
      <c r="J26" s="12" t="s">
        <v>41</v>
      </c>
      <c r="K26" s="11" t="n">
        <v>70</v>
      </c>
      <c r="N26" s="10" t="s">
        <v>40</v>
      </c>
      <c r="O26" s="11" t="n">
        <v>62</v>
      </c>
      <c r="P26" s="12" t="s">
        <v>41</v>
      </c>
      <c r="Q26" s="11" t="n">
        <v>70</v>
      </c>
    </row>
    <row r="27" customFormat="false" ht="13.8" hidden="false" customHeight="false" outlineLevel="0" collapsed="false">
      <c r="C27" s="9" t="s">
        <v>43</v>
      </c>
      <c r="E27" s="13" t="s">
        <v>46</v>
      </c>
      <c r="H27" s="9" t="s">
        <v>43</v>
      </c>
      <c r="J27" s="0" t="s">
        <v>57</v>
      </c>
      <c r="N27" s="9" t="s">
        <v>43</v>
      </c>
      <c r="P27" s="0" t="s">
        <v>50</v>
      </c>
      <c r="Q27" s="0" t="s">
        <v>46</v>
      </c>
    </row>
    <row r="28" customFormat="false" ht="13.8" hidden="false" customHeight="false" outlineLevel="0" collapsed="false">
      <c r="C28" s="9" t="s">
        <v>44</v>
      </c>
      <c r="E28" s="0" t="s">
        <v>50</v>
      </c>
      <c r="H28" s="9" t="s">
        <v>44</v>
      </c>
      <c r="I28" s="0" t="s">
        <v>46</v>
      </c>
      <c r="N28" s="9" t="s">
        <v>44</v>
      </c>
      <c r="P28" s="0" t="s">
        <v>46</v>
      </c>
    </row>
    <row r="29" customFormat="false" ht="13.8" hidden="false" customHeight="false" outlineLevel="0" collapsed="false">
      <c r="N29" s="9"/>
    </row>
    <row r="30" customFormat="false" ht="13.8" hidden="false" customHeight="false" outlineLevel="0" collapsed="false">
      <c r="C30" s="9"/>
      <c r="H30" s="0" t="s">
        <v>63</v>
      </c>
    </row>
    <row r="31" customFormat="false" ht="13.8" hidden="false" customHeight="false" outlineLevel="0" collapsed="false">
      <c r="C31" s="10" t="s">
        <v>40</v>
      </c>
      <c r="D31" s="11" t="n">
        <v>62</v>
      </c>
      <c r="E31" s="12" t="s">
        <v>41</v>
      </c>
      <c r="F31" s="11" t="n">
        <v>70</v>
      </c>
      <c r="H31" s="10" t="s">
        <v>40</v>
      </c>
      <c r="I31" s="11" t="n">
        <v>62</v>
      </c>
      <c r="J31" s="12" t="s">
        <v>41</v>
      </c>
      <c r="K31" s="11" t="n">
        <v>70</v>
      </c>
      <c r="N31" s="10" t="s">
        <v>40</v>
      </c>
      <c r="O31" s="11" t="n">
        <v>62</v>
      </c>
      <c r="P31" s="12" t="s">
        <v>41</v>
      </c>
      <c r="Q31" s="11" t="n">
        <v>70</v>
      </c>
    </row>
    <row r="32" customFormat="false" ht="13.8" hidden="false" customHeight="false" outlineLevel="0" collapsed="false">
      <c r="C32" s="9" t="s">
        <v>43</v>
      </c>
      <c r="F32" s="13" t="s">
        <v>61</v>
      </c>
      <c r="H32" s="9" t="s">
        <v>43</v>
      </c>
      <c r="J32" s="0" t="s">
        <v>57</v>
      </c>
      <c r="N32" s="9" t="s">
        <v>43</v>
      </c>
      <c r="O32" s="0" t="s">
        <v>50</v>
      </c>
      <c r="Q32" s="0" t="s">
        <v>46</v>
      </c>
    </row>
    <row r="33" customFormat="false" ht="13.8" hidden="false" customHeight="false" outlineLevel="0" collapsed="false">
      <c r="C33" s="9" t="s">
        <v>44</v>
      </c>
      <c r="D33" s="0" t="s">
        <v>50</v>
      </c>
      <c r="H33" s="9" t="s">
        <v>44</v>
      </c>
      <c r="J33" s="0" t="s">
        <v>46</v>
      </c>
      <c r="N33" s="9" t="s">
        <v>44</v>
      </c>
      <c r="Q33" s="0" t="s">
        <v>46</v>
      </c>
    </row>
    <row r="35" customFormat="false" ht="13.8" hidden="false" customHeight="false" outlineLevel="0" collapsed="false">
      <c r="C35" s="9"/>
      <c r="H35" s="0" t="s">
        <v>64</v>
      </c>
    </row>
    <row r="36" customFormat="false" ht="13.8" hidden="false" customHeight="false" outlineLevel="0" collapsed="false">
      <c r="C36" s="10" t="s">
        <v>40</v>
      </c>
      <c r="D36" s="11" t="n">
        <v>62</v>
      </c>
      <c r="E36" s="12" t="s">
        <v>41</v>
      </c>
      <c r="F36" s="11" t="n">
        <v>70</v>
      </c>
      <c r="H36" s="10" t="s">
        <v>40</v>
      </c>
      <c r="I36" s="11" t="n">
        <v>62</v>
      </c>
      <c r="J36" s="12" t="s">
        <v>41</v>
      </c>
      <c r="K36" s="11" t="n">
        <v>70</v>
      </c>
      <c r="N36" s="10" t="s">
        <v>40</v>
      </c>
      <c r="O36" s="11" t="n">
        <v>62</v>
      </c>
      <c r="P36" s="12" t="s">
        <v>41</v>
      </c>
      <c r="Q36" s="11" t="n">
        <v>70</v>
      </c>
    </row>
    <row r="37" customFormat="false" ht="13.8" hidden="false" customHeight="false" outlineLevel="0" collapsed="false">
      <c r="C37" s="9" t="s">
        <v>43</v>
      </c>
      <c r="F37" s="13" t="s">
        <v>61</v>
      </c>
      <c r="H37" s="9" t="s">
        <v>43</v>
      </c>
      <c r="K37" s="0" t="s">
        <v>57</v>
      </c>
      <c r="N37" s="9" t="s">
        <v>43</v>
      </c>
      <c r="P37" s="0" t="s">
        <v>50</v>
      </c>
      <c r="Q37" s="0" t="s">
        <v>46</v>
      </c>
    </row>
    <row r="38" customFormat="false" ht="13.8" hidden="false" customHeight="false" outlineLevel="0" collapsed="false">
      <c r="C38" s="9" t="s">
        <v>44</v>
      </c>
      <c r="E38" s="0" t="s">
        <v>50</v>
      </c>
      <c r="H38" s="9" t="s">
        <v>44</v>
      </c>
      <c r="K38" s="0" t="s">
        <v>46</v>
      </c>
      <c r="N38" s="9" t="s">
        <v>44</v>
      </c>
      <c r="Q38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2012-12-23T19:08:29Z</dcterms:created>
  <dc:creator>Rebecca</dc:creator>
  <dc:language>en-US</dc:language>
  <cp:lastModifiedBy>renski</cp:lastModifiedBy>
  <dcterms:modified xsi:type="dcterms:W3CDTF">2013-01-24T23:10:16Z</dcterms:modified>
  <cp:revision>0</cp:revision>
</cp:coreProperties>
</file>