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1075" windowHeight="11790" activeTab="1"/>
  </bookViews>
  <sheets>
    <sheet name="Single" sheetId="1" r:id="rId1"/>
    <sheet name="Double" sheetId="2" r:id="rId2"/>
    <sheet name="Reduction" sheetId="3" r:id="rId3"/>
  </sheets>
  <calcPr calcId="125725"/>
</workbook>
</file>

<file path=xl/calcChain.xml><?xml version="1.0" encoding="utf-8"?>
<calcChain xmlns="http://schemas.openxmlformats.org/spreadsheetml/2006/main">
  <c r="K14" i="2"/>
  <c r="K15" s="1"/>
  <c r="J11"/>
  <c r="J13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12"/>
  <c r="I11"/>
  <c r="G19"/>
  <c r="H15"/>
  <c r="H16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C4"/>
  <c r="C3"/>
  <c r="C2"/>
  <c r="M8"/>
  <c r="H8"/>
  <c r="C9"/>
  <c r="T9" s="1"/>
  <c r="B9"/>
  <c r="I6"/>
  <c r="G2"/>
  <c r="H6"/>
  <c r="G4"/>
  <c r="J2"/>
  <c r="J1"/>
  <c r="Z9"/>
  <c r="B1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F11" i="1"/>
  <c r="G4"/>
  <c r="G2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D15"/>
  <c r="D16"/>
  <c r="E11"/>
  <c r="C19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D17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B1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K16" i="2" l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U9"/>
  <c r="X9"/>
  <c r="Q9"/>
  <c r="Y9"/>
  <c r="S9"/>
  <c r="AB9"/>
  <c r="W9"/>
  <c r="R9"/>
  <c r="V9"/>
  <c r="AA9"/>
  <c r="G20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I12"/>
  <c r="A10"/>
  <c r="C10" s="1"/>
  <c r="E12" i="1"/>
  <c r="L10" i="2" l="1"/>
  <c r="M10"/>
  <c r="N10"/>
  <c r="A1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E13" i="1"/>
  <c r="F12"/>
  <c r="C11" i="2" l="1"/>
  <c r="M11" s="1"/>
  <c r="I13"/>
  <c r="E14" i="1"/>
  <c r="F13"/>
  <c r="P11" i="2" l="1"/>
  <c r="O11"/>
  <c r="D11" s="1"/>
  <c r="L11"/>
  <c r="N11"/>
  <c r="C12"/>
  <c r="M12" s="1"/>
  <c r="I14"/>
  <c r="E15" i="1"/>
  <c r="F14"/>
  <c r="P12" i="2" l="1"/>
  <c r="L12"/>
  <c r="N12"/>
  <c r="O12"/>
  <c r="D12" s="1"/>
  <c r="C13"/>
  <c r="M13" s="1"/>
  <c r="I15"/>
  <c r="E16" i="1"/>
  <c r="F15"/>
  <c r="P13" i="2" l="1"/>
  <c r="O13"/>
  <c r="D13" s="1"/>
  <c r="L13"/>
  <c r="N13"/>
  <c r="C14"/>
  <c r="I16"/>
  <c r="E17" i="1"/>
  <c r="F16"/>
  <c r="P14" i="2" l="1"/>
  <c r="M14"/>
  <c r="L14"/>
  <c r="N14"/>
  <c r="O14"/>
  <c r="D14" s="1"/>
  <c r="C15"/>
  <c r="I17"/>
  <c r="E18" i="1"/>
  <c r="F17"/>
  <c r="P15" i="2" l="1"/>
  <c r="M15"/>
  <c r="L15"/>
  <c r="N15"/>
  <c r="O15"/>
  <c r="D15" s="1"/>
  <c r="C16"/>
  <c r="I18"/>
  <c r="E19" i="1"/>
  <c r="F18"/>
  <c r="P16" i="2" l="1"/>
  <c r="M16"/>
  <c r="L16"/>
  <c r="N16"/>
  <c r="O16"/>
  <c r="D16" s="1"/>
  <c r="C17"/>
  <c r="I19"/>
  <c r="E20" i="1"/>
  <c r="F19"/>
  <c r="P17" i="2" l="1"/>
  <c r="M17"/>
  <c r="L17"/>
  <c r="N17"/>
  <c r="O17"/>
  <c r="D17" s="1"/>
  <c r="C18"/>
  <c r="I20"/>
  <c r="E21" i="1"/>
  <c r="F20"/>
  <c r="P18" i="2" l="1"/>
  <c r="M18"/>
  <c r="L18"/>
  <c r="N18"/>
  <c r="O18"/>
  <c r="D18" s="1"/>
  <c r="C19"/>
  <c r="I21"/>
  <c r="E22" i="1"/>
  <c r="F21"/>
  <c r="P19" i="2" l="1"/>
  <c r="M19"/>
  <c r="L19"/>
  <c r="N19"/>
  <c r="O19"/>
  <c r="D19" s="1"/>
  <c r="C20"/>
  <c r="I22"/>
  <c r="E23" i="1"/>
  <c r="F22"/>
  <c r="P20" i="2" l="1"/>
  <c r="M20"/>
  <c r="O20"/>
  <c r="D20" s="1"/>
  <c r="L20"/>
  <c r="N20"/>
  <c r="C21"/>
  <c r="I23"/>
  <c r="E24" i="1"/>
  <c r="F23"/>
  <c r="P21" i="2" l="1"/>
  <c r="M21"/>
  <c r="L21"/>
  <c r="N21"/>
  <c r="O21"/>
  <c r="D21" s="1"/>
  <c r="C22"/>
  <c r="I24"/>
  <c r="E25" i="1"/>
  <c r="F24"/>
  <c r="P22" i="2" l="1"/>
  <c r="M22"/>
  <c r="L22"/>
  <c r="N22"/>
  <c r="O22"/>
  <c r="D22" s="1"/>
  <c r="C23"/>
  <c r="I25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E26" i="1"/>
  <c r="F25"/>
  <c r="P23" i="2" l="1"/>
  <c r="M23"/>
  <c r="L23"/>
  <c r="N23"/>
  <c r="O23"/>
  <c r="D23" s="1"/>
  <c r="C24"/>
  <c r="P24" s="1"/>
  <c r="E27" i="1"/>
  <c r="F26"/>
  <c r="L24" i="2" l="1"/>
  <c r="M24"/>
  <c r="N24"/>
  <c r="O24"/>
  <c r="D24" s="1"/>
  <c r="C25"/>
  <c r="P25" s="1"/>
  <c r="E28" i="1"/>
  <c r="F27"/>
  <c r="M25" i="2" l="1"/>
  <c r="L25"/>
  <c r="N25"/>
  <c r="O25"/>
  <c r="D25" s="1"/>
  <c r="C26"/>
  <c r="E29" i="1"/>
  <c r="F28"/>
  <c r="M26" i="2" l="1"/>
  <c r="P26"/>
  <c r="L26"/>
  <c r="N26"/>
  <c r="O26"/>
  <c r="D26" s="1"/>
  <c r="C27"/>
  <c r="E30" i="1"/>
  <c r="F29"/>
  <c r="M27" i="2" l="1"/>
  <c r="P27"/>
  <c r="L27"/>
  <c r="N27"/>
  <c r="O27"/>
  <c r="D27" s="1"/>
  <c r="C28"/>
  <c r="L28" s="1"/>
  <c r="E31" i="1"/>
  <c r="F30"/>
  <c r="M28" i="2" l="1"/>
  <c r="P28"/>
  <c r="N28"/>
  <c r="O28"/>
  <c r="D28" s="1"/>
  <c r="C29"/>
  <c r="E32" i="1"/>
  <c r="F31"/>
  <c r="M29" i="2" l="1"/>
  <c r="P29"/>
  <c r="L29"/>
  <c r="N29"/>
  <c r="O29"/>
  <c r="D29" s="1"/>
  <c r="C30"/>
  <c r="E33" i="1"/>
  <c r="F32"/>
  <c r="M30" i="2" l="1"/>
  <c r="P30"/>
  <c r="L30"/>
  <c r="N30"/>
  <c r="O30"/>
  <c r="D30" s="1"/>
  <c r="C31"/>
  <c r="E34" i="1"/>
  <c r="F33"/>
  <c r="M31" i="2" l="1"/>
  <c r="P31"/>
  <c r="L31"/>
  <c r="N31"/>
  <c r="O31"/>
  <c r="D31" s="1"/>
  <c r="C32"/>
  <c r="E35" i="1"/>
  <c r="F34"/>
  <c r="M32" i="2" l="1"/>
  <c r="P32"/>
  <c r="L32"/>
  <c r="N32"/>
  <c r="O32"/>
  <c r="D32" s="1"/>
  <c r="C33"/>
  <c r="E36" i="1"/>
  <c r="F35"/>
  <c r="M33" i="2" l="1"/>
  <c r="P33"/>
  <c r="L33"/>
  <c r="N33"/>
  <c r="O33"/>
  <c r="D33" s="1"/>
  <c r="C34"/>
  <c r="E37" i="1"/>
  <c r="F36"/>
  <c r="M34" i="2" l="1"/>
  <c r="P34"/>
  <c r="L34"/>
  <c r="N34"/>
  <c r="O34"/>
  <c r="D34" s="1"/>
  <c r="C35"/>
  <c r="E38" i="1"/>
  <c r="F37"/>
  <c r="M35" i="2" l="1"/>
  <c r="P35"/>
  <c r="L35"/>
  <c r="N35"/>
  <c r="O35"/>
  <c r="D35" s="1"/>
  <c r="C36"/>
  <c r="E39" i="1"/>
  <c r="F38"/>
  <c r="M36" i="2" l="1"/>
  <c r="P36"/>
  <c r="L36"/>
  <c r="N36"/>
  <c r="O36"/>
  <c r="D36" s="1"/>
  <c r="C37"/>
  <c r="E40" i="1"/>
  <c r="F39"/>
  <c r="M37" i="2" l="1"/>
  <c r="P37"/>
  <c r="L37"/>
  <c r="N37"/>
  <c r="O37"/>
  <c r="D37" s="1"/>
  <c r="C38"/>
  <c r="E41" i="1"/>
  <c r="F40"/>
  <c r="M38" i="2" l="1"/>
  <c r="P38"/>
  <c r="L38"/>
  <c r="N38"/>
  <c r="O38"/>
  <c r="D38" s="1"/>
  <c r="C39"/>
  <c r="E42" i="1"/>
  <c r="F41"/>
  <c r="M39" i="2" l="1"/>
  <c r="P39"/>
  <c r="L39"/>
  <c r="N39"/>
  <c r="O39"/>
  <c r="D39" s="1"/>
  <c r="C40"/>
  <c r="E43" i="1"/>
  <c r="F42"/>
  <c r="M40" i="2" l="1"/>
  <c r="P40"/>
  <c r="L40"/>
  <c r="N40"/>
  <c r="O40"/>
  <c r="D40" s="1"/>
  <c r="C41"/>
  <c r="E44" i="1"/>
  <c r="F43"/>
  <c r="M41" i="2" l="1"/>
  <c r="P41"/>
  <c r="L41"/>
  <c r="N41"/>
  <c r="O41"/>
  <c r="D41" s="1"/>
  <c r="C42"/>
  <c r="E45" i="1"/>
  <c r="F44"/>
  <c r="M42" i="2" l="1"/>
  <c r="P42"/>
  <c r="L42"/>
  <c r="N42"/>
  <c r="O42"/>
  <c r="D42" s="1"/>
  <c r="C43"/>
  <c r="E46" i="1"/>
  <c r="F45"/>
  <c r="M43" i="2" l="1"/>
  <c r="P43"/>
  <c r="L43"/>
  <c r="N43"/>
  <c r="O43"/>
  <c r="D43" s="1"/>
  <c r="C44"/>
  <c r="E47" i="1"/>
  <c r="F46"/>
  <c r="M44" i="2" l="1"/>
  <c r="P44"/>
  <c r="L44"/>
  <c r="N44"/>
  <c r="O44"/>
  <c r="D44" s="1"/>
  <c r="C45"/>
  <c r="E48" i="1"/>
  <c r="F47"/>
  <c r="M45" i="2" l="1"/>
  <c r="P45"/>
  <c r="L45"/>
  <c r="N45"/>
  <c r="O45"/>
  <c r="D45" s="1"/>
  <c r="C46"/>
  <c r="E49" i="1"/>
  <c r="F48"/>
  <c r="M46" i="2" l="1"/>
  <c r="P46"/>
  <c r="L46"/>
  <c r="N46"/>
  <c r="O46"/>
  <c r="D46" s="1"/>
  <c r="C47"/>
  <c r="E50" i="1"/>
  <c r="F49"/>
  <c r="M47" i="2" l="1"/>
  <c r="P47"/>
  <c r="L47"/>
  <c r="N47"/>
  <c r="O47"/>
  <c r="D47" s="1"/>
  <c r="C48"/>
  <c r="E51" i="1"/>
  <c r="F50"/>
  <c r="M48" i="2" l="1"/>
  <c r="P48"/>
  <c r="L48"/>
  <c r="N48"/>
  <c r="O48"/>
  <c r="D48" s="1"/>
  <c r="C49"/>
  <c r="E52" i="1"/>
  <c r="F51"/>
  <c r="M49" i="2" l="1"/>
  <c r="P49"/>
  <c r="L49"/>
  <c r="N49"/>
  <c r="O49"/>
  <c r="D49" s="1"/>
  <c r="C50"/>
  <c r="E53" i="1"/>
  <c r="F52"/>
  <c r="M50" i="2" l="1"/>
  <c r="P50"/>
  <c r="L50"/>
  <c r="N50"/>
  <c r="O50"/>
  <c r="D50" s="1"/>
  <c r="C51"/>
  <c r="E54" i="1"/>
  <c r="F53"/>
  <c r="M51" i="2" l="1"/>
  <c r="P51"/>
  <c r="L51"/>
  <c r="N51"/>
  <c r="O51"/>
  <c r="D51" s="1"/>
  <c r="C52"/>
  <c r="E55" i="1"/>
  <c r="F54"/>
  <c r="M52" i="2" l="1"/>
  <c r="P52"/>
  <c r="L52"/>
  <c r="N52"/>
  <c r="O52"/>
  <c r="D52" s="1"/>
  <c r="C53"/>
  <c r="E56" i="1"/>
  <c r="F55"/>
  <c r="M53" i="2" l="1"/>
  <c r="P53"/>
  <c r="L53"/>
  <c r="N53"/>
  <c r="O53"/>
  <c r="D53" s="1"/>
  <c r="C54"/>
  <c r="E57" i="1"/>
  <c r="F56"/>
  <c r="M54" i="2" l="1"/>
  <c r="P54"/>
  <c r="L54"/>
  <c r="N54"/>
  <c r="O54"/>
  <c r="D54" s="1"/>
  <c r="C55"/>
  <c r="E58" i="1"/>
  <c r="F58" s="1"/>
  <c r="F57"/>
  <c r="M55" i="2" l="1"/>
  <c r="P55"/>
  <c r="L55"/>
  <c r="N55"/>
  <c r="O55"/>
  <c r="D55" s="1"/>
  <c r="C56"/>
  <c r="M56" l="1"/>
  <c r="P56"/>
  <c r="L56"/>
  <c r="N56"/>
  <c r="O56"/>
  <c r="D56" s="1"/>
  <c r="C57"/>
  <c r="M57" l="1"/>
  <c r="P57"/>
  <c r="L57"/>
  <c r="N57"/>
  <c r="O57"/>
  <c r="D57" s="1"/>
  <c r="C58"/>
  <c r="M58" l="1"/>
  <c r="P58"/>
  <c r="L58"/>
  <c r="N58"/>
  <c r="O58"/>
  <c r="D58" s="1"/>
</calcChain>
</file>

<file path=xl/sharedStrings.xml><?xml version="1.0" encoding="utf-8"?>
<sst xmlns="http://schemas.openxmlformats.org/spreadsheetml/2006/main" count="60" uniqueCount="38">
  <si>
    <t>FRA (66+4mo)</t>
  </si>
  <si>
    <t>70 years old</t>
  </si>
  <si>
    <t>62 years old</t>
  </si>
  <si>
    <t>Graphs</t>
  </si>
  <si>
    <t>Cum FRA</t>
  </si>
  <si>
    <t>Cum 70</t>
  </si>
  <si>
    <t>Cum 62</t>
  </si>
  <si>
    <t>Retirement #s per month</t>
  </si>
  <si>
    <t>N/A</t>
  </si>
  <si>
    <t>Birth Date (mm/dd/yy)</t>
  </si>
  <si>
    <t>Age</t>
  </si>
  <si>
    <t>Date</t>
  </si>
  <si>
    <t>*remember that there is an exception for January Births.</t>
  </si>
  <si>
    <t>**Still need to write this in.</t>
  </si>
  <si>
    <t>Spouse BD (mm/dd/yy)</t>
  </si>
  <si>
    <t>Yours</t>
  </si>
  <si>
    <t>Spouse</t>
  </si>
  <si>
    <t>Age1</t>
  </si>
  <si>
    <t>Breakdown</t>
  </si>
  <si>
    <t>Younger</t>
  </si>
  <si>
    <t>Older</t>
  </si>
  <si>
    <t>*now need to write "spousal" benefits</t>
  </si>
  <si>
    <t xml:space="preserve"> </t>
  </si>
  <si>
    <t>Year</t>
  </si>
  <si>
    <t>Wage Earner, Retirement Beneift</t>
  </si>
  <si>
    <t>*born 1960 and later</t>
  </si>
  <si>
    <t>***have to take the max of own or spousal if you decide to take at 62</t>
  </si>
  <si>
    <t>**use this form to calc diff in months</t>
  </si>
  <si>
    <t>YS@62, O@FRA</t>
  </si>
  <si>
    <t>YS@FRA, O@FRA</t>
  </si>
  <si>
    <t>OS@62, Y@FRA</t>
  </si>
  <si>
    <t>OS@FRA, Y@FRA</t>
  </si>
  <si>
    <t>You Are</t>
  </si>
  <si>
    <t>Spouse Is</t>
  </si>
  <si>
    <t>User</t>
  </si>
  <si>
    <t>User Birth Date (mm/dd/yy)</t>
  </si>
  <si>
    <t>****keep remembering that they will get the check 1 mo after!!!!!</t>
  </si>
  <si>
    <t>**still need to calc difference in months between Older and Younger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</si>
</sst>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0" fontId="2" fillId="2" borderId="0" xfId="2"/>
    <xf numFmtId="0" fontId="4" fillId="4" borderId="0" xfId="4"/>
    <xf numFmtId="0" fontId="3" fillId="3" borderId="0" xfId="3"/>
    <xf numFmtId="14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8"/>
  <sheetViews>
    <sheetView workbookViewId="0">
      <selection activeCell="F12" sqref="F12"/>
    </sheetView>
  </sheetViews>
  <sheetFormatPr defaultRowHeight="15"/>
  <cols>
    <col min="1" max="1" width="23.5703125" bestFit="1" customWidth="1"/>
    <col min="2" max="3" width="14.28515625" bestFit="1" customWidth="1"/>
    <col min="4" max="4" width="11.5703125" bestFit="1" customWidth="1"/>
    <col min="5" max="6" width="10.85546875" customWidth="1"/>
  </cols>
  <sheetData>
    <row r="1" spans="1:14">
      <c r="A1" t="s">
        <v>7</v>
      </c>
      <c r="B1" t="s">
        <v>15</v>
      </c>
      <c r="C1" t="s">
        <v>16</v>
      </c>
      <c r="E1" s="8" t="s">
        <v>9</v>
      </c>
      <c r="F1" s="8"/>
      <c r="G1" s="5">
        <v>20703</v>
      </c>
      <c r="N1" t="s">
        <v>12</v>
      </c>
    </row>
    <row r="2" spans="1:14">
      <c r="A2" t="s">
        <v>0</v>
      </c>
      <c r="B2">
        <v>2236</v>
      </c>
      <c r="E2" s="8" t="s">
        <v>10</v>
      </c>
      <c r="F2" s="8"/>
      <c r="G2" s="6">
        <f ca="1">YEAR(TODAY())-YEAR(G1)</f>
        <v>57</v>
      </c>
      <c r="J2" s="5"/>
      <c r="K2" s="5"/>
      <c r="N2" t="s">
        <v>13</v>
      </c>
    </row>
    <row r="3" spans="1:14">
      <c r="A3" t="s">
        <v>1</v>
      </c>
      <c r="B3">
        <v>2892</v>
      </c>
      <c r="E3" s="8" t="s">
        <v>14</v>
      </c>
      <c r="F3" s="8"/>
      <c r="G3" s="5">
        <v>20703</v>
      </c>
    </row>
    <row r="4" spans="1:14">
      <c r="A4" t="s">
        <v>2</v>
      </c>
      <c r="B4">
        <v>1649</v>
      </c>
      <c r="E4" s="8" t="s">
        <v>10</v>
      </c>
      <c r="F4" s="8"/>
      <c r="G4" s="6">
        <f ca="1">YEAR(TODAY())-YEAR(G3)</f>
        <v>57</v>
      </c>
    </row>
    <row r="8" spans="1:14">
      <c r="A8" t="s">
        <v>3</v>
      </c>
    </row>
    <row r="9" spans="1:14">
      <c r="A9" t="s">
        <v>11</v>
      </c>
      <c r="B9" t="s">
        <v>17</v>
      </c>
      <c r="C9" s="2" t="s">
        <v>5</v>
      </c>
      <c r="D9" s="3" t="s">
        <v>4</v>
      </c>
      <c r="E9" s="4" t="s">
        <v>6</v>
      </c>
      <c r="F9" t="s">
        <v>18</v>
      </c>
    </row>
    <row r="10" spans="1:14">
      <c r="A10" s="5">
        <f ca="1">DATE(YEAR(TODAY())+B10-G2,9,5)</f>
        <v>43348</v>
      </c>
      <c r="B10">
        <v>62</v>
      </c>
      <c r="C10" s="1">
        <v>0</v>
      </c>
      <c r="D10" s="1">
        <v>0</v>
      </c>
      <c r="E10" s="1">
        <v>0</v>
      </c>
      <c r="F10" t="s">
        <v>8</v>
      </c>
    </row>
    <row r="11" spans="1:14">
      <c r="A11" s="5">
        <f ca="1">DATE(YEAR(A10)+1,MONTH(A10),DAY(A10))</f>
        <v>43713</v>
      </c>
      <c r="B11">
        <f>B10+1</f>
        <v>63</v>
      </c>
      <c r="C11" s="1">
        <v>0</v>
      </c>
      <c r="D11" s="1">
        <v>0</v>
      </c>
      <c r="E11" s="1">
        <f>E10+$B$4*12</f>
        <v>19788</v>
      </c>
      <c r="F11">
        <f>IF(AND(E11&gt;D11,E11&gt;C11),62,IF(D11&gt;C11,"FRA",70))</f>
        <v>62</v>
      </c>
    </row>
    <row r="12" spans="1:14">
      <c r="A12" s="5">
        <f t="shared" ref="A12:A58" ca="1" si="0">DATE(YEAR(A11)+1,MONTH(A11),DAY(A11))</f>
        <v>44079</v>
      </c>
      <c r="B12">
        <f t="shared" ref="B12:B57" si="1">B11+1</f>
        <v>64</v>
      </c>
      <c r="C12" s="1">
        <v>0</v>
      </c>
      <c r="D12" s="1">
        <v>0</v>
      </c>
      <c r="E12" s="1">
        <f t="shared" ref="E12:E58" si="2">E11+$B$4*12</f>
        <v>39576</v>
      </c>
      <c r="F12">
        <f t="shared" ref="F12:F58" si="3">IF(AND(E12&gt;D12,E12&gt;C12),62,IF(D12&gt;C12,"FRA",70))</f>
        <v>62</v>
      </c>
    </row>
    <row r="13" spans="1:14">
      <c r="A13" s="5">
        <f t="shared" ca="1" si="0"/>
        <v>44444</v>
      </c>
      <c r="B13">
        <f t="shared" si="1"/>
        <v>65</v>
      </c>
      <c r="C13" s="1">
        <v>0</v>
      </c>
      <c r="D13" s="1">
        <v>0</v>
      </c>
      <c r="E13" s="1">
        <f t="shared" si="2"/>
        <v>59364</v>
      </c>
      <c r="F13">
        <f t="shared" si="3"/>
        <v>62</v>
      </c>
    </row>
    <row r="14" spans="1:14">
      <c r="A14" s="5">
        <f t="shared" ca="1" si="0"/>
        <v>44809</v>
      </c>
      <c r="B14">
        <f t="shared" si="1"/>
        <v>66</v>
      </c>
      <c r="C14" s="1">
        <v>0</v>
      </c>
      <c r="D14" s="1">
        <v>0</v>
      </c>
      <c r="E14" s="1">
        <f t="shared" si="2"/>
        <v>79152</v>
      </c>
      <c r="F14">
        <f t="shared" si="3"/>
        <v>62</v>
      </c>
    </row>
    <row r="15" spans="1:14">
      <c r="A15" s="5">
        <f t="shared" ca="1" si="0"/>
        <v>45174</v>
      </c>
      <c r="B15">
        <f t="shared" si="1"/>
        <v>67</v>
      </c>
      <c r="C15" s="1">
        <v>0</v>
      </c>
      <c r="D15" s="1">
        <f>8*$B$2</f>
        <v>17888</v>
      </c>
      <c r="E15" s="1">
        <f t="shared" si="2"/>
        <v>98940</v>
      </c>
      <c r="F15">
        <f t="shared" si="3"/>
        <v>62</v>
      </c>
    </row>
    <row r="16" spans="1:14">
      <c r="A16" s="5">
        <f t="shared" ca="1" si="0"/>
        <v>45540</v>
      </c>
      <c r="B16">
        <f t="shared" si="1"/>
        <v>68</v>
      </c>
      <c r="C16" s="1">
        <v>0</v>
      </c>
      <c r="D16" s="1">
        <f>D15+$B$2*12</f>
        <v>44720</v>
      </c>
      <c r="E16" s="1">
        <f t="shared" si="2"/>
        <v>118728</v>
      </c>
      <c r="F16">
        <f t="shared" si="3"/>
        <v>62</v>
      </c>
    </row>
    <row r="17" spans="1:6">
      <c r="A17" s="5">
        <f t="shared" ca="1" si="0"/>
        <v>45905</v>
      </c>
      <c r="B17">
        <f t="shared" si="1"/>
        <v>69</v>
      </c>
      <c r="C17" s="1">
        <v>0</v>
      </c>
      <c r="D17" s="1">
        <f t="shared" ref="D17:D58" si="4">D16+$B$2*12</f>
        <v>71552</v>
      </c>
      <c r="E17" s="1">
        <f t="shared" si="2"/>
        <v>138516</v>
      </c>
      <c r="F17">
        <f t="shared" si="3"/>
        <v>62</v>
      </c>
    </row>
    <row r="18" spans="1:6">
      <c r="A18" s="5">
        <f t="shared" ca="1" si="0"/>
        <v>46270</v>
      </c>
      <c r="B18">
        <f t="shared" si="1"/>
        <v>70</v>
      </c>
      <c r="C18" s="1">
        <v>0</v>
      </c>
      <c r="D18" s="1">
        <f t="shared" si="4"/>
        <v>98384</v>
      </c>
      <c r="E18" s="1">
        <f t="shared" si="2"/>
        <v>158304</v>
      </c>
      <c r="F18">
        <f t="shared" si="3"/>
        <v>62</v>
      </c>
    </row>
    <row r="19" spans="1:6">
      <c r="A19" s="5">
        <f t="shared" ca="1" si="0"/>
        <v>46635</v>
      </c>
      <c r="B19">
        <f t="shared" si="1"/>
        <v>71</v>
      </c>
      <c r="C19" s="1">
        <f>C18+12*$B$3</f>
        <v>34704</v>
      </c>
      <c r="D19" s="1">
        <f t="shared" si="4"/>
        <v>125216</v>
      </c>
      <c r="E19" s="1">
        <f t="shared" si="2"/>
        <v>178092</v>
      </c>
      <c r="F19">
        <f t="shared" si="3"/>
        <v>62</v>
      </c>
    </row>
    <row r="20" spans="1:6">
      <c r="A20" s="5">
        <f t="shared" ca="1" si="0"/>
        <v>47001</v>
      </c>
      <c r="B20">
        <f t="shared" si="1"/>
        <v>72</v>
      </c>
      <c r="C20" s="1">
        <f t="shared" ref="C20:C58" si="5">C19+12*$B$3</f>
        <v>69408</v>
      </c>
      <c r="D20" s="1">
        <f t="shared" si="4"/>
        <v>152048</v>
      </c>
      <c r="E20" s="1">
        <f t="shared" si="2"/>
        <v>197880</v>
      </c>
      <c r="F20">
        <f t="shared" si="3"/>
        <v>62</v>
      </c>
    </row>
    <row r="21" spans="1:6">
      <c r="A21" s="5">
        <f t="shared" ca="1" si="0"/>
        <v>47366</v>
      </c>
      <c r="B21">
        <f t="shared" si="1"/>
        <v>73</v>
      </c>
      <c r="C21" s="1">
        <f t="shared" si="5"/>
        <v>104112</v>
      </c>
      <c r="D21" s="1">
        <f t="shared" si="4"/>
        <v>178880</v>
      </c>
      <c r="E21" s="1">
        <f t="shared" si="2"/>
        <v>217668</v>
      </c>
      <c r="F21">
        <f t="shared" si="3"/>
        <v>62</v>
      </c>
    </row>
    <row r="22" spans="1:6">
      <c r="A22" s="5">
        <f t="shared" ca="1" si="0"/>
        <v>47731</v>
      </c>
      <c r="B22">
        <f t="shared" si="1"/>
        <v>74</v>
      </c>
      <c r="C22" s="1">
        <f t="shared" si="5"/>
        <v>138816</v>
      </c>
      <c r="D22" s="1">
        <f t="shared" si="4"/>
        <v>205712</v>
      </c>
      <c r="E22" s="1">
        <f t="shared" si="2"/>
        <v>237456</v>
      </c>
      <c r="F22">
        <f t="shared" si="3"/>
        <v>62</v>
      </c>
    </row>
    <row r="23" spans="1:6">
      <c r="A23" s="5">
        <f t="shared" ca="1" si="0"/>
        <v>48096</v>
      </c>
      <c r="B23">
        <f t="shared" si="1"/>
        <v>75</v>
      </c>
      <c r="C23" s="1">
        <f t="shared" si="5"/>
        <v>173520</v>
      </c>
      <c r="D23" s="1">
        <f t="shared" si="4"/>
        <v>232544</v>
      </c>
      <c r="E23" s="1">
        <f t="shared" si="2"/>
        <v>257244</v>
      </c>
      <c r="F23">
        <f t="shared" si="3"/>
        <v>62</v>
      </c>
    </row>
    <row r="24" spans="1:6">
      <c r="A24" s="5">
        <f t="shared" ca="1" si="0"/>
        <v>48462</v>
      </c>
      <c r="B24">
        <f t="shared" si="1"/>
        <v>76</v>
      </c>
      <c r="C24" s="1">
        <f t="shared" si="5"/>
        <v>208224</v>
      </c>
      <c r="D24" s="1">
        <f t="shared" si="4"/>
        <v>259376</v>
      </c>
      <c r="E24" s="1">
        <f t="shared" si="2"/>
        <v>277032</v>
      </c>
      <c r="F24">
        <f t="shared" si="3"/>
        <v>62</v>
      </c>
    </row>
    <row r="25" spans="1:6">
      <c r="A25" s="5">
        <f t="shared" ca="1" si="0"/>
        <v>48827</v>
      </c>
      <c r="B25">
        <f t="shared" si="1"/>
        <v>77</v>
      </c>
      <c r="C25" s="1">
        <f t="shared" si="5"/>
        <v>242928</v>
      </c>
      <c r="D25" s="1">
        <f t="shared" si="4"/>
        <v>286208</v>
      </c>
      <c r="E25" s="1">
        <f t="shared" si="2"/>
        <v>296820</v>
      </c>
      <c r="F25">
        <f t="shared" si="3"/>
        <v>62</v>
      </c>
    </row>
    <row r="26" spans="1:6">
      <c r="A26" s="5">
        <f t="shared" ca="1" si="0"/>
        <v>49192</v>
      </c>
      <c r="B26">
        <f t="shared" si="1"/>
        <v>78</v>
      </c>
      <c r="C26" s="1">
        <f t="shared" si="5"/>
        <v>277632</v>
      </c>
      <c r="D26" s="1">
        <f t="shared" si="4"/>
        <v>313040</v>
      </c>
      <c r="E26" s="1">
        <f t="shared" si="2"/>
        <v>316608</v>
      </c>
      <c r="F26">
        <f t="shared" si="3"/>
        <v>62</v>
      </c>
    </row>
    <row r="27" spans="1:6">
      <c r="A27" s="5">
        <f t="shared" ca="1" si="0"/>
        <v>49557</v>
      </c>
      <c r="B27">
        <f t="shared" si="1"/>
        <v>79</v>
      </c>
      <c r="C27" s="1">
        <f t="shared" si="5"/>
        <v>312336</v>
      </c>
      <c r="D27" s="1">
        <f t="shared" si="4"/>
        <v>339872</v>
      </c>
      <c r="E27" s="1">
        <f t="shared" si="2"/>
        <v>336396</v>
      </c>
      <c r="F27" t="str">
        <f t="shared" si="3"/>
        <v>FRA</v>
      </c>
    </row>
    <row r="28" spans="1:6">
      <c r="A28" s="5">
        <f t="shared" ca="1" si="0"/>
        <v>49923</v>
      </c>
      <c r="B28">
        <f t="shared" si="1"/>
        <v>80</v>
      </c>
      <c r="C28" s="1">
        <f t="shared" si="5"/>
        <v>347040</v>
      </c>
      <c r="D28" s="1">
        <f t="shared" si="4"/>
        <v>366704</v>
      </c>
      <c r="E28" s="1">
        <f t="shared" si="2"/>
        <v>356184</v>
      </c>
      <c r="F28" t="str">
        <f t="shared" si="3"/>
        <v>FRA</v>
      </c>
    </row>
    <row r="29" spans="1:6">
      <c r="A29" s="5">
        <f t="shared" ca="1" si="0"/>
        <v>50288</v>
      </c>
      <c r="B29">
        <f t="shared" si="1"/>
        <v>81</v>
      </c>
      <c r="C29" s="1">
        <f t="shared" si="5"/>
        <v>381744</v>
      </c>
      <c r="D29" s="1">
        <f t="shared" si="4"/>
        <v>393536</v>
      </c>
      <c r="E29" s="1">
        <f t="shared" si="2"/>
        <v>375972</v>
      </c>
      <c r="F29" t="str">
        <f t="shared" si="3"/>
        <v>FRA</v>
      </c>
    </row>
    <row r="30" spans="1:6">
      <c r="A30" s="5">
        <f t="shared" ca="1" si="0"/>
        <v>50653</v>
      </c>
      <c r="B30">
        <f t="shared" si="1"/>
        <v>82</v>
      </c>
      <c r="C30" s="1">
        <f t="shared" si="5"/>
        <v>416448</v>
      </c>
      <c r="D30" s="1">
        <f t="shared" si="4"/>
        <v>420368</v>
      </c>
      <c r="E30" s="1">
        <f t="shared" si="2"/>
        <v>395760</v>
      </c>
      <c r="F30" t="str">
        <f t="shared" si="3"/>
        <v>FRA</v>
      </c>
    </row>
    <row r="31" spans="1:6">
      <c r="A31" s="5">
        <f t="shared" ca="1" si="0"/>
        <v>51018</v>
      </c>
      <c r="B31">
        <f t="shared" si="1"/>
        <v>83</v>
      </c>
      <c r="C31" s="1">
        <f t="shared" si="5"/>
        <v>451152</v>
      </c>
      <c r="D31" s="1">
        <f t="shared" si="4"/>
        <v>447200</v>
      </c>
      <c r="E31" s="1">
        <f t="shared" si="2"/>
        <v>415548</v>
      </c>
      <c r="F31">
        <f t="shared" si="3"/>
        <v>70</v>
      </c>
    </row>
    <row r="32" spans="1:6">
      <c r="A32" s="5">
        <f t="shared" ca="1" si="0"/>
        <v>51384</v>
      </c>
      <c r="B32">
        <f t="shared" si="1"/>
        <v>84</v>
      </c>
      <c r="C32" s="1">
        <f t="shared" si="5"/>
        <v>485856</v>
      </c>
      <c r="D32" s="1">
        <f t="shared" si="4"/>
        <v>474032</v>
      </c>
      <c r="E32" s="1">
        <f t="shared" si="2"/>
        <v>435336</v>
      </c>
      <c r="F32">
        <f t="shared" si="3"/>
        <v>70</v>
      </c>
    </row>
    <row r="33" spans="1:6">
      <c r="A33" s="5">
        <f t="shared" ca="1" si="0"/>
        <v>51749</v>
      </c>
      <c r="B33">
        <f t="shared" si="1"/>
        <v>85</v>
      </c>
      <c r="C33" s="1">
        <f t="shared" si="5"/>
        <v>520560</v>
      </c>
      <c r="D33" s="1">
        <f t="shared" si="4"/>
        <v>500864</v>
      </c>
      <c r="E33" s="1">
        <f t="shared" si="2"/>
        <v>455124</v>
      </c>
      <c r="F33">
        <f t="shared" si="3"/>
        <v>70</v>
      </c>
    </row>
    <row r="34" spans="1:6">
      <c r="A34" s="5">
        <f t="shared" ca="1" si="0"/>
        <v>52114</v>
      </c>
      <c r="B34">
        <f t="shared" si="1"/>
        <v>86</v>
      </c>
      <c r="C34" s="1">
        <f t="shared" si="5"/>
        <v>555264</v>
      </c>
      <c r="D34" s="1">
        <f t="shared" si="4"/>
        <v>527696</v>
      </c>
      <c r="E34" s="1">
        <f t="shared" si="2"/>
        <v>474912</v>
      </c>
      <c r="F34">
        <f t="shared" si="3"/>
        <v>70</v>
      </c>
    </row>
    <row r="35" spans="1:6">
      <c r="A35" s="5">
        <f t="shared" ca="1" si="0"/>
        <v>52479</v>
      </c>
      <c r="B35">
        <f t="shared" si="1"/>
        <v>87</v>
      </c>
      <c r="C35" s="1">
        <f t="shared" si="5"/>
        <v>589968</v>
      </c>
      <c r="D35" s="1">
        <f t="shared" si="4"/>
        <v>554528</v>
      </c>
      <c r="E35" s="1">
        <f t="shared" si="2"/>
        <v>494700</v>
      </c>
      <c r="F35">
        <f t="shared" si="3"/>
        <v>70</v>
      </c>
    </row>
    <row r="36" spans="1:6">
      <c r="A36" s="5">
        <f t="shared" ca="1" si="0"/>
        <v>52845</v>
      </c>
      <c r="B36">
        <f t="shared" si="1"/>
        <v>88</v>
      </c>
      <c r="C36" s="1">
        <f t="shared" si="5"/>
        <v>624672</v>
      </c>
      <c r="D36" s="1">
        <f t="shared" si="4"/>
        <v>581360</v>
      </c>
      <c r="E36" s="1">
        <f t="shared" si="2"/>
        <v>514488</v>
      </c>
      <c r="F36">
        <f t="shared" si="3"/>
        <v>70</v>
      </c>
    </row>
    <row r="37" spans="1:6">
      <c r="A37" s="5">
        <f t="shared" ca="1" si="0"/>
        <v>53210</v>
      </c>
      <c r="B37">
        <f t="shared" si="1"/>
        <v>89</v>
      </c>
      <c r="C37" s="1">
        <f t="shared" si="5"/>
        <v>659376</v>
      </c>
      <c r="D37" s="1">
        <f t="shared" si="4"/>
        <v>608192</v>
      </c>
      <c r="E37" s="1">
        <f t="shared" si="2"/>
        <v>534276</v>
      </c>
      <c r="F37">
        <f t="shared" si="3"/>
        <v>70</v>
      </c>
    </row>
    <row r="38" spans="1:6">
      <c r="A38" s="5">
        <f t="shared" ca="1" si="0"/>
        <v>53575</v>
      </c>
      <c r="B38">
        <f t="shared" si="1"/>
        <v>90</v>
      </c>
      <c r="C38" s="1">
        <f t="shared" si="5"/>
        <v>694080</v>
      </c>
      <c r="D38" s="1">
        <f t="shared" si="4"/>
        <v>635024</v>
      </c>
      <c r="E38" s="1">
        <f t="shared" si="2"/>
        <v>554064</v>
      </c>
      <c r="F38">
        <f t="shared" si="3"/>
        <v>70</v>
      </c>
    </row>
    <row r="39" spans="1:6">
      <c r="A39" s="5">
        <f t="shared" ca="1" si="0"/>
        <v>53940</v>
      </c>
      <c r="B39">
        <f t="shared" si="1"/>
        <v>91</v>
      </c>
      <c r="C39" s="1">
        <f t="shared" si="5"/>
        <v>728784</v>
      </c>
      <c r="D39" s="1">
        <f t="shared" si="4"/>
        <v>661856</v>
      </c>
      <c r="E39" s="1">
        <f t="shared" si="2"/>
        <v>573852</v>
      </c>
      <c r="F39">
        <f t="shared" si="3"/>
        <v>70</v>
      </c>
    </row>
    <row r="40" spans="1:6">
      <c r="A40" s="5">
        <f t="shared" ca="1" si="0"/>
        <v>54306</v>
      </c>
      <c r="B40">
        <f t="shared" si="1"/>
        <v>92</v>
      </c>
      <c r="C40" s="1">
        <f t="shared" si="5"/>
        <v>763488</v>
      </c>
      <c r="D40" s="1">
        <f t="shared" si="4"/>
        <v>688688</v>
      </c>
      <c r="E40" s="1">
        <f t="shared" si="2"/>
        <v>593640</v>
      </c>
      <c r="F40">
        <f t="shared" si="3"/>
        <v>70</v>
      </c>
    </row>
    <row r="41" spans="1:6">
      <c r="A41" s="5">
        <f t="shared" ca="1" si="0"/>
        <v>54671</v>
      </c>
      <c r="B41">
        <f t="shared" si="1"/>
        <v>93</v>
      </c>
      <c r="C41" s="1">
        <f t="shared" si="5"/>
        <v>798192</v>
      </c>
      <c r="D41" s="1">
        <f t="shared" si="4"/>
        <v>715520</v>
      </c>
      <c r="E41" s="1">
        <f t="shared" si="2"/>
        <v>613428</v>
      </c>
      <c r="F41">
        <f t="shared" si="3"/>
        <v>70</v>
      </c>
    </row>
    <row r="42" spans="1:6">
      <c r="A42" s="5">
        <f t="shared" ca="1" si="0"/>
        <v>55036</v>
      </c>
      <c r="B42">
        <f t="shared" si="1"/>
        <v>94</v>
      </c>
      <c r="C42" s="1">
        <f t="shared" si="5"/>
        <v>832896</v>
      </c>
      <c r="D42" s="1">
        <f t="shared" si="4"/>
        <v>742352</v>
      </c>
      <c r="E42" s="1">
        <f t="shared" si="2"/>
        <v>633216</v>
      </c>
      <c r="F42">
        <f t="shared" si="3"/>
        <v>70</v>
      </c>
    </row>
    <row r="43" spans="1:6">
      <c r="A43" s="5">
        <f t="shared" ca="1" si="0"/>
        <v>55401</v>
      </c>
      <c r="B43">
        <f t="shared" si="1"/>
        <v>95</v>
      </c>
      <c r="C43" s="1">
        <f t="shared" si="5"/>
        <v>867600</v>
      </c>
      <c r="D43" s="1">
        <f t="shared" si="4"/>
        <v>769184</v>
      </c>
      <c r="E43" s="1">
        <f t="shared" si="2"/>
        <v>653004</v>
      </c>
      <c r="F43">
        <f t="shared" si="3"/>
        <v>70</v>
      </c>
    </row>
    <row r="44" spans="1:6">
      <c r="A44" s="5">
        <f t="shared" ca="1" si="0"/>
        <v>55767</v>
      </c>
      <c r="B44">
        <f t="shared" si="1"/>
        <v>96</v>
      </c>
      <c r="C44" s="1">
        <f t="shared" si="5"/>
        <v>902304</v>
      </c>
      <c r="D44" s="1">
        <f t="shared" si="4"/>
        <v>796016</v>
      </c>
      <c r="E44" s="1">
        <f t="shared" si="2"/>
        <v>672792</v>
      </c>
      <c r="F44">
        <f t="shared" si="3"/>
        <v>70</v>
      </c>
    </row>
    <row r="45" spans="1:6">
      <c r="A45" s="5">
        <f t="shared" ca="1" si="0"/>
        <v>56132</v>
      </c>
      <c r="B45">
        <f t="shared" si="1"/>
        <v>97</v>
      </c>
      <c r="C45" s="1">
        <f t="shared" si="5"/>
        <v>937008</v>
      </c>
      <c r="D45" s="1">
        <f t="shared" si="4"/>
        <v>822848</v>
      </c>
      <c r="E45" s="1">
        <f t="shared" si="2"/>
        <v>692580</v>
      </c>
      <c r="F45">
        <f t="shared" si="3"/>
        <v>70</v>
      </c>
    </row>
    <row r="46" spans="1:6">
      <c r="A46" s="5">
        <f t="shared" ca="1" si="0"/>
        <v>56497</v>
      </c>
      <c r="B46">
        <f t="shared" si="1"/>
        <v>98</v>
      </c>
      <c r="C46" s="1">
        <f t="shared" si="5"/>
        <v>971712</v>
      </c>
      <c r="D46" s="1">
        <f t="shared" si="4"/>
        <v>849680</v>
      </c>
      <c r="E46" s="1">
        <f t="shared" si="2"/>
        <v>712368</v>
      </c>
      <c r="F46">
        <f t="shared" si="3"/>
        <v>70</v>
      </c>
    </row>
    <row r="47" spans="1:6">
      <c r="A47" s="5">
        <f t="shared" ca="1" si="0"/>
        <v>56862</v>
      </c>
      <c r="B47">
        <f t="shared" si="1"/>
        <v>99</v>
      </c>
      <c r="C47" s="1">
        <f t="shared" si="5"/>
        <v>1006416</v>
      </c>
      <c r="D47" s="1">
        <f t="shared" si="4"/>
        <v>876512</v>
      </c>
      <c r="E47" s="1">
        <f t="shared" si="2"/>
        <v>732156</v>
      </c>
      <c r="F47">
        <f t="shared" si="3"/>
        <v>70</v>
      </c>
    </row>
    <row r="48" spans="1:6">
      <c r="A48" s="5">
        <f t="shared" ca="1" si="0"/>
        <v>57228</v>
      </c>
      <c r="B48">
        <f t="shared" si="1"/>
        <v>100</v>
      </c>
      <c r="C48" s="1">
        <f t="shared" si="5"/>
        <v>1041120</v>
      </c>
      <c r="D48" s="1">
        <f t="shared" si="4"/>
        <v>903344</v>
      </c>
      <c r="E48" s="1">
        <f t="shared" si="2"/>
        <v>751944</v>
      </c>
      <c r="F48">
        <f t="shared" si="3"/>
        <v>70</v>
      </c>
    </row>
    <row r="49" spans="1:6">
      <c r="A49" s="5">
        <f t="shared" ca="1" si="0"/>
        <v>57593</v>
      </c>
      <c r="B49">
        <f t="shared" si="1"/>
        <v>101</v>
      </c>
      <c r="C49" s="1">
        <f t="shared" si="5"/>
        <v>1075824</v>
      </c>
      <c r="D49" s="1">
        <f t="shared" si="4"/>
        <v>930176</v>
      </c>
      <c r="E49" s="1">
        <f t="shared" si="2"/>
        <v>771732</v>
      </c>
      <c r="F49">
        <f t="shared" si="3"/>
        <v>70</v>
      </c>
    </row>
    <row r="50" spans="1:6">
      <c r="A50" s="5">
        <f t="shared" ca="1" si="0"/>
        <v>57958</v>
      </c>
      <c r="B50">
        <f t="shared" si="1"/>
        <v>102</v>
      </c>
      <c r="C50" s="1">
        <f t="shared" si="5"/>
        <v>1110528</v>
      </c>
      <c r="D50" s="1">
        <f t="shared" si="4"/>
        <v>957008</v>
      </c>
      <c r="E50" s="1">
        <f t="shared" si="2"/>
        <v>791520</v>
      </c>
      <c r="F50">
        <f t="shared" si="3"/>
        <v>70</v>
      </c>
    </row>
    <row r="51" spans="1:6">
      <c r="A51" s="5">
        <f t="shared" ca="1" si="0"/>
        <v>58323</v>
      </c>
      <c r="B51">
        <f t="shared" si="1"/>
        <v>103</v>
      </c>
      <c r="C51" s="1">
        <f t="shared" si="5"/>
        <v>1145232</v>
      </c>
      <c r="D51" s="1">
        <f t="shared" si="4"/>
        <v>983840</v>
      </c>
      <c r="E51" s="1">
        <f t="shared" si="2"/>
        <v>811308</v>
      </c>
      <c r="F51">
        <f t="shared" si="3"/>
        <v>70</v>
      </c>
    </row>
    <row r="52" spans="1:6">
      <c r="A52" s="5">
        <f t="shared" ca="1" si="0"/>
        <v>58689</v>
      </c>
      <c r="B52">
        <f t="shared" si="1"/>
        <v>104</v>
      </c>
      <c r="C52" s="1">
        <f t="shared" si="5"/>
        <v>1179936</v>
      </c>
      <c r="D52" s="1">
        <f t="shared" si="4"/>
        <v>1010672</v>
      </c>
      <c r="E52" s="1">
        <f t="shared" si="2"/>
        <v>831096</v>
      </c>
      <c r="F52">
        <f t="shared" si="3"/>
        <v>70</v>
      </c>
    </row>
    <row r="53" spans="1:6">
      <c r="A53" s="5">
        <f t="shared" ca="1" si="0"/>
        <v>59054</v>
      </c>
      <c r="B53">
        <f t="shared" si="1"/>
        <v>105</v>
      </c>
      <c r="C53" s="1">
        <f t="shared" si="5"/>
        <v>1214640</v>
      </c>
      <c r="D53" s="1">
        <f t="shared" si="4"/>
        <v>1037504</v>
      </c>
      <c r="E53" s="1">
        <f t="shared" si="2"/>
        <v>850884</v>
      </c>
      <c r="F53">
        <f t="shared" si="3"/>
        <v>70</v>
      </c>
    </row>
    <row r="54" spans="1:6">
      <c r="A54" s="5">
        <f t="shared" ca="1" si="0"/>
        <v>59419</v>
      </c>
      <c r="B54">
        <f t="shared" si="1"/>
        <v>106</v>
      </c>
      <c r="C54" s="1">
        <f t="shared" si="5"/>
        <v>1249344</v>
      </c>
      <c r="D54" s="1">
        <f t="shared" si="4"/>
        <v>1064336</v>
      </c>
      <c r="E54" s="1">
        <f t="shared" si="2"/>
        <v>870672</v>
      </c>
      <c r="F54">
        <f t="shared" si="3"/>
        <v>70</v>
      </c>
    </row>
    <row r="55" spans="1:6">
      <c r="A55" s="5">
        <f t="shared" ca="1" si="0"/>
        <v>59784</v>
      </c>
      <c r="B55">
        <f t="shared" si="1"/>
        <v>107</v>
      </c>
      <c r="C55" s="1">
        <f t="shared" si="5"/>
        <v>1284048</v>
      </c>
      <c r="D55" s="1">
        <f t="shared" si="4"/>
        <v>1091168</v>
      </c>
      <c r="E55" s="1">
        <f t="shared" si="2"/>
        <v>890460</v>
      </c>
      <c r="F55">
        <f t="shared" si="3"/>
        <v>70</v>
      </c>
    </row>
    <row r="56" spans="1:6">
      <c r="A56" s="5">
        <f t="shared" ca="1" si="0"/>
        <v>60150</v>
      </c>
      <c r="B56">
        <f t="shared" si="1"/>
        <v>108</v>
      </c>
      <c r="C56" s="1">
        <f t="shared" si="5"/>
        <v>1318752</v>
      </c>
      <c r="D56" s="1">
        <f t="shared" si="4"/>
        <v>1118000</v>
      </c>
      <c r="E56" s="1">
        <f t="shared" si="2"/>
        <v>910248</v>
      </c>
      <c r="F56">
        <f t="shared" si="3"/>
        <v>70</v>
      </c>
    </row>
    <row r="57" spans="1:6">
      <c r="A57" s="5">
        <f t="shared" ca="1" si="0"/>
        <v>60515</v>
      </c>
      <c r="B57">
        <f t="shared" si="1"/>
        <v>109</v>
      </c>
      <c r="C57" s="1">
        <f t="shared" si="5"/>
        <v>1353456</v>
      </c>
      <c r="D57" s="1">
        <f t="shared" si="4"/>
        <v>1144832</v>
      </c>
      <c r="E57" s="1">
        <f t="shared" si="2"/>
        <v>930036</v>
      </c>
      <c r="F57">
        <f t="shared" si="3"/>
        <v>70</v>
      </c>
    </row>
    <row r="58" spans="1:6">
      <c r="A58" s="5">
        <f t="shared" ca="1" si="0"/>
        <v>60880</v>
      </c>
      <c r="B58">
        <f>B57+1</f>
        <v>110</v>
      </c>
      <c r="C58" s="1">
        <f t="shared" si="5"/>
        <v>1388160</v>
      </c>
      <c r="D58" s="1">
        <f t="shared" si="4"/>
        <v>1171664</v>
      </c>
      <c r="E58" s="1">
        <f t="shared" si="2"/>
        <v>949824</v>
      </c>
      <c r="F58">
        <f t="shared" si="3"/>
        <v>70</v>
      </c>
    </row>
  </sheetData>
  <mergeCells count="4">
    <mergeCell ref="E1:F1"/>
    <mergeCell ref="E2:F2"/>
    <mergeCell ref="E3:F3"/>
    <mergeCell ref="E4:F4"/>
  </mergeCells>
  <conditionalFormatting sqref="F10:F58 B10:B58">
    <cfRule type="expression" dxfId="5" priority="1">
      <formula>$F10=70</formula>
    </cfRule>
    <cfRule type="expression" dxfId="4" priority="2">
      <formula>$F10="FRA"</formula>
    </cfRule>
    <cfRule type="expression" dxfId="3" priority="3">
      <formula>$F10=62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58"/>
  <sheetViews>
    <sheetView tabSelected="1" topLeftCell="C1" zoomScaleNormal="100" workbookViewId="0">
      <selection activeCell="N23" sqref="N23"/>
    </sheetView>
  </sheetViews>
  <sheetFormatPr defaultRowHeight="15"/>
  <cols>
    <col min="1" max="1" width="23.5703125" bestFit="1" customWidth="1"/>
    <col min="2" max="3" width="14.28515625" bestFit="1" customWidth="1"/>
    <col min="4" max="4" width="11.5703125" bestFit="1" customWidth="1"/>
    <col min="5" max="5" width="14.7109375" customWidth="1"/>
    <col min="6" max="6" width="12" customWidth="1"/>
    <col min="7" max="7" width="12" bestFit="1" customWidth="1"/>
    <col min="8" max="8" width="11.5703125" bestFit="1" customWidth="1"/>
    <col min="9" max="9" width="10.85546875" customWidth="1"/>
    <col min="10" max="10" width="24.42578125" customWidth="1"/>
    <col min="11" max="11" width="24.42578125" bestFit="1" customWidth="1"/>
    <col min="12" max="13" width="10.85546875" customWidth="1"/>
    <col min="14" max="14" width="11.140625" customWidth="1"/>
    <col min="15" max="15" width="23.85546875" customWidth="1"/>
    <col min="16" max="16" width="25.140625" customWidth="1"/>
    <col min="18" max="18" width="10.140625" customWidth="1"/>
    <col min="19" max="19" width="12" customWidth="1"/>
    <col min="20" max="21" width="10.140625" customWidth="1"/>
  </cols>
  <sheetData>
    <row r="1" spans="1:28">
      <c r="A1" t="s">
        <v>7</v>
      </c>
      <c r="B1" t="s">
        <v>34</v>
      </c>
      <c r="C1" t="s">
        <v>16</v>
      </c>
      <c r="E1" s="8" t="s">
        <v>35</v>
      </c>
      <c r="F1" s="8"/>
      <c r="G1" s="5">
        <v>24474</v>
      </c>
      <c r="I1" t="s">
        <v>32</v>
      </c>
      <c r="J1" t="str">
        <f>IF($G$1&gt;$G$3,"Younger","Older")</f>
        <v>Younger</v>
      </c>
      <c r="K1" t="s">
        <v>34</v>
      </c>
    </row>
    <row r="2" spans="1:28">
      <c r="A2" t="s">
        <v>0</v>
      </c>
      <c r="B2">
        <v>2600</v>
      </c>
      <c r="C2">
        <f>B2-500</f>
        <v>2100</v>
      </c>
      <c r="E2" s="8" t="s">
        <v>10</v>
      </c>
      <c r="F2" s="8"/>
      <c r="G2" s="6">
        <f ca="1">(TODAY()-G1)/365.25</f>
        <v>46.061601642710471</v>
      </c>
      <c r="I2" t="s">
        <v>33</v>
      </c>
      <c r="J2" t="str">
        <f>IF($G$1&lt;$G$3,"Younger","Older")</f>
        <v>Older</v>
      </c>
      <c r="K2" t="s">
        <v>16</v>
      </c>
      <c r="N2" t="s">
        <v>37</v>
      </c>
    </row>
    <row r="3" spans="1:28">
      <c r="A3" t="s">
        <v>1</v>
      </c>
      <c r="B3">
        <v>3000</v>
      </c>
      <c r="C3">
        <f t="shared" ref="C3:C4" si="0">B3-500</f>
        <v>2500</v>
      </c>
      <c r="E3" s="8" t="s">
        <v>14</v>
      </c>
      <c r="F3" s="8"/>
      <c r="G3" s="5">
        <v>20853</v>
      </c>
      <c r="N3" t="s">
        <v>26</v>
      </c>
    </row>
    <row r="4" spans="1:28">
      <c r="A4" t="s">
        <v>2</v>
      </c>
      <c r="B4">
        <v>1700</v>
      </c>
      <c r="C4">
        <f t="shared" si="0"/>
        <v>1200</v>
      </c>
      <c r="E4" s="8" t="s">
        <v>10</v>
      </c>
      <c r="F4" s="8"/>
      <c r="G4" s="6">
        <f ca="1">(TODAY()-G3)/365.25</f>
        <v>55.975359342915809</v>
      </c>
      <c r="N4" t="s">
        <v>36</v>
      </c>
    </row>
    <row r="6" spans="1:28">
      <c r="H6" s="6">
        <f>MONTH(MIN($G$1,$G$3))-MONTH(MAX($G$1,$G$3))</f>
        <v>1</v>
      </c>
      <c r="I6">
        <f>IF(MONTH(MIN($G$1,$G$3))-MONTH(MAX($G$1,$G$3))&lt;0,12-ABS(MONTH(MIN($G$1,$G$3))-MONTH(MAX($G$1,$G$3))),12-ABS(MONTH(MIN($G$1,$G$3))-MONTH(MAX($G$1,$G$3))))</f>
        <v>11</v>
      </c>
      <c r="J6" s="6" t="s">
        <v>27</v>
      </c>
    </row>
    <row r="7" spans="1:28">
      <c r="F7" t="s">
        <v>22</v>
      </c>
    </row>
    <row r="8" spans="1:28">
      <c r="A8" t="s">
        <v>3</v>
      </c>
      <c r="G8" t="s">
        <v>20</v>
      </c>
      <c r="H8" t="str">
        <f>"Older"&amp;" "&amp;VLOOKUP("Older",$J$1:$K$2,2,0)</f>
        <v>Older Spouse</v>
      </c>
      <c r="L8" t="s">
        <v>19</v>
      </c>
      <c r="M8" t="str">
        <f>"Younger"&amp;" "&amp;VLOOKUP("Younger",$J$1:$K$2,2,0)</f>
        <v>Younger User</v>
      </c>
      <c r="AB8" t="s">
        <v>21</v>
      </c>
    </row>
    <row r="9" spans="1:28">
      <c r="A9" t="s">
        <v>11</v>
      </c>
      <c r="B9" t="str">
        <f>"Older"&amp;" "&amp;VLOOKUP("Older",$J$1:$K$2,2,0)</f>
        <v>Older Spouse</v>
      </c>
      <c r="C9" t="str">
        <f>"Younger"&amp;" "&amp;VLOOKUP("Younger",$J$1:$K$2,2,0)</f>
        <v>Younger User</v>
      </c>
      <c r="D9" t="s">
        <v>18</v>
      </c>
      <c r="G9" s="2" t="s">
        <v>5</v>
      </c>
      <c r="H9" s="3" t="s">
        <v>4</v>
      </c>
      <c r="I9" s="4" t="s">
        <v>6</v>
      </c>
      <c r="J9" s="4" t="s">
        <v>30</v>
      </c>
      <c r="K9" s="4" t="s">
        <v>31</v>
      </c>
      <c r="L9" s="2" t="s">
        <v>5</v>
      </c>
      <c r="M9" s="3" t="s">
        <v>4</v>
      </c>
      <c r="N9" s="4" t="s">
        <v>6</v>
      </c>
      <c r="O9" s="4" t="s">
        <v>28</v>
      </c>
      <c r="P9" s="4" t="s">
        <v>29</v>
      </c>
      <c r="Q9" s="2" t="str">
        <f>LEFT($B$9,1)&amp;"70"&amp;"+"&amp;LEFT($C$9,1)&amp;"70"</f>
        <v>O70+Y70</v>
      </c>
      <c r="R9" s="2" t="str">
        <f>LEFT($B$9,1)&amp;"70"&amp;"+"&amp;LEFT($C$9,1)&amp;"FRA"</f>
        <v>O70+YFRA</v>
      </c>
      <c r="S9" s="2" t="str">
        <f>LEFT($B$9,1)&amp;"70"&amp;"+"&amp;LEFT($C$9,1)&amp;"62"</f>
        <v>O70+Y62</v>
      </c>
      <c r="T9" s="2" t="str">
        <f>LEFT($B$9,1)&amp;"70"&amp;"+"&amp;LEFT($C$9,1)&amp;"S"</f>
        <v>O70+YS</v>
      </c>
      <c r="U9" s="3" t="str">
        <f>LEFT($B$9,1)&amp;"FRA"&amp;"+"&amp;LEFT($C$9,1)&amp;"70"</f>
        <v>OFRA+Y70</v>
      </c>
      <c r="V9" s="3" t="str">
        <f>LEFT($B$9,1)&amp;"FRA"&amp;"+"&amp;LEFT($C$9,1)&amp;"FRA"</f>
        <v>OFRA+YFRA</v>
      </c>
      <c r="W9" s="3" t="str">
        <f>LEFT($B$9,1)&amp;"FRA"&amp;"+"&amp;LEFT($C$9,1)&amp;"62"</f>
        <v>OFRA+Y62</v>
      </c>
      <c r="X9" s="3" t="str">
        <f>LEFT($B$9,1)&amp;"FRA"&amp;"+"&amp;LEFT($C$9,1)&amp;"S"</f>
        <v>OFRA+YS</v>
      </c>
      <c r="Y9" s="4" t="str">
        <f>LEFT($B$9,1)&amp;"62"&amp;"+"&amp;LEFT($C$9,1)&amp;"70"</f>
        <v>O62+Y70</v>
      </c>
      <c r="Z9" s="4" t="str">
        <f>LEFT($B$9,1)&amp;"62"&amp;"+"&amp;LEFT($C$9,1)&amp;"FRA"</f>
        <v>O62+YFRA</v>
      </c>
      <c r="AA9" s="4" t="str">
        <f>LEFT($B$9,1)&amp;"62"&amp;"+"&amp;LEFT($C$9,1)&amp;"62"</f>
        <v>O62+Y62</v>
      </c>
      <c r="AB9" s="4" t="str">
        <f>LEFT($B$9,1)&amp;"62"&amp;"+"&amp;LEFT($C$9,1)&amp;"S"</f>
        <v>O62+YS</v>
      </c>
    </row>
    <row r="10" spans="1:28">
      <c r="A10" s="5">
        <f ca="1">TODAY()+(62-MAX($G$2,$G$4))*365.25</f>
        <v>43498.5</v>
      </c>
      <c r="B10">
        <v>62</v>
      </c>
      <c r="C10">
        <f ca="1">(A10-TODAY())/365.25+MIN($G$2,$G$4)</f>
        <v>52.086242299794662</v>
      </c>
      <c r="D10" t="s">
        <v>8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 ca="1">IF($C10&gt;=70.083,IF(L9=0,IF(DAY(MAX($G$1,$G$3))=1,12,11)*HLOOKUP(VLOOKUP($L$8,$J$1:$K$2,2,0),$B$1:$C$4,3,0),L9+12*HLOOKUP(VLOOKUP($L$8,$J$1:$K$2,2,0),$B$1:$C$4,3,0)),0)</f>
        <v>0</v>
      </c>
      <c r="M10" s="1">
        <f t="shared" ref="M10:M58" ca="1" si="1">IF($C10&gt;=(66+1/3),IF(M9=0,IF(DAY(MAX($G$1,$G$3))=1,12,11)*HLOOKUP(VLOOKUP($L$8,$J$1:$K$2,2,0),$B$1:$C$4,2,0),M9+12*HLOOKUP(VLOOKUP($L$8,$J$1:$K$2,2,0),$B$1:$C$4,2,0)),0)</f>
        <v>0</v>
      </c>
      <c r="N10" s="1">
        <f t="shared" ref="N10:N19" ca="1" si="2">IF($C10&gt;=62.083,IF(N9=0,IF(DAY(MAX($G$1,$G$3))=1,12,11)*HLOOKUP(VLOOKUP($L$8,$J$1:$K$2,2,0),$B$1:$C$4,4,0),N9+12*HLOOKUP(VLOOKUP($L$8,$J$1:$K$2,2,0),$B$1:$C$4,4,0)),0)</f>
        <v>0</v>
      </c>
      <c r="O10" s="1">
        <v>0</v>
      </c>
      <c r="P10" s="1">
        <v>0</v>
      </c>
      <c r="Q10" s="1"/>
      <c r="R10" s="1"/>
    </row>
    <row r="11" spans="1:28">
      <c r="A11" s="5">
        <f ca="1">A10+365.25</f>
        <v>43863.75</v>
      </c>
      <c r="B11">
        <f>B10+1</f>
        <v>63</v>
      </c>
      <c r="C11">
        <f ca="1">C10+1</f>
        <v>53.086242299794662</v>
      </c>
      <c r="D11">
        <f ca="1">IF(AND(R11&gt;Q11,R11&gt;O11),62,IF(Q11&gt;O11,"FRA",70))</f>
        <v>70</v>
      </c>
      <c r="G11" s="1">
        <v>0</v>
      </c>
      <c r="H11" s="1">
        <v>0</v>
      </c>
      <c r="I11" s="1">
        <f>IF(DAY(MIN($G$1,$G$3))=1,12,11)*HLOOKUP(VLOOKUP($G$8,$J$1:$K$2,2,0),$B$1:$C$4,4,0)</f>
        <v>13200</v>
      </c>
      <c r="J11" s="1">
        <f>IF(DAY(MIN($G$1,$G$3))=1,12,11)*0.325*HLOOKUP(VLOOKUP($L$8,$J$1:$K$2,2,0),$B$1:$C$4,2,0)</f>
        <v>9295</v>
      </c>
      <c r="K11" s="1">
        <v>0</v>
      </c>
      <c r="L11" s="1">
        <f t="shared" ref="L10:L19" ca="1" si="3">IF($C11&gt;=70.083,IF(L10=0,IF(DAY(MAX($G$1,$G$3))=1,12,11)*HLOOKUP(VLOOKUP($L$8,$J$1:$K$2,2,0),$B$1:$C$4,3,0),L10+12*HLOOKUP(VLOOKUP($L$8,$J$1:$K$2,2,0),$B$1:$C$4,3,0)),0)</f>
        <v>0</v>
      </c>
      <c r="M11" s="1">
        <f t="shared" ca="1" si="1"/>
        <v>0</v>
      </c>
      <c r="N11" s="1">
        <f t="shared" ca="1" si="2"/>
        <v>0</v>
      </c>
      <c r="O11" s="1">
        <f ca="1">IF($C11&gt;=62.083,IF(O10=0,IF(DAY(MAX($G$1,$G$3))=1,12,11)*0.325*HLOOKUP(VLOOKUP($G$8,$J$1:$K$2,2,0),$B$1:$C$4,2,0),O10+12*0.325*HLOOKUP(VLOOKUP($G$8,$J$1:$K$2,2,0),$B$1:$C$4,2,0)),0)</f>
        <v>0</v>
      </c>
      <c r="P11" s="1">
        <f ca="1">IF($C11&gt;=(66+1/3),IF(P10=0,IF(DAY(MAX($G$1,$G$3))=1,12,11)*0.5*HLOOKUP(VLOOKUP($G$8,$J$1:$K$2,2,0),$B$1:$C$4,2,0),P10+12*0.5*HLOOKUP(VLOOKUP($G$8,$J$1:$K$2,2,0),$B$1:$C$4,2,0)),0)</f>
        <v>0</v>
      </c>
      <c r="Q11" s="1"/>
      <c r="R11" s="1"/>
    </row>
    <row r="12" spans="1:28">
      <c r="A12" s="5">
        <f t="shared" ref="A12:A58" ca="1" si="4">A11+365.25</f>
        <v>44229</v>
      </c>
      <c r="B12">
        <f t="shared" ref="B12:C57" si="5">B11+1</f>
        <v>64</v>
      </c>
      <c r="C12">
        <f t="shared" ca="1" si="5"/>
        <v>54.086242299794662</v>
      </c>
      <c r="D12">
        <f ca="1">IF(AND(R12&gt;Q12,R12&gt;O12),62,IF(Q12&gt;O12,"FRA",70))</f>
        <v>70</v>
      </c>
      <c r="G12" s="1">
        <v>0</v>
      </c>
      <c r="H12" s="1">
        <v>0</v>
      </c>
      <c r="I12" s="1">
        <f t="shared" ref="I12:I58" si="6">I11+HLOOKUP(VLOOKUP($G$8,$J$1:$K$2,2,0),$B$1:$C$4,4,0)*12</f>
        <v>27600</v>
      </c>
      <c r="J12" s="1">
        <f>J11+12*0.325*HLOOKUP(VLOOKUP($L$8,$J$1:$K$2,2,0),$B$1:$C$4,2,0)</f>
        <v>19435</v>
      </c>
      <c r="K12" s="1">
        <v>0</v>
      </c>
      <c r="L12" s="1">
        <f t="shared" ca="1" si="3"/>
        <v>0</v>
      </c>
      <c r="M12" s="1">
        <f t="shared" ca="1" si="1"/>
        <v>0</v>
      </c>
      <c r="N12" s="1">
        <f t="shared" ca="1" si="2"/>
        <v>0</v>
      </c>
      <c r="O12" s="1">
        <f ca="1">IF($C12&gt;=62.083,IF(O11=0,IF(DAY(MAX($G$1,$G$3))=1,12,11)*0.325*HLOOKUP(VLOOKUP($G$8,$J$1:$K$2,2,0),$B$1:$C$4,2,0),O11+12*0.325*HLOOKUP(VLOOKUP($G$8,$J$1:$K$2,2,0),$B$1:$C$4,2,0)),0)</f>
        <v>0</v>
      </c>
      <c r="P12" s="1">
        <f t="shared" ref="P12:P58" ca="1" si="7">IF($C12&gt;=(66+1/3),IF(P11=0,IF(DAY(MAX($G$1,$G$3))=1,12,11)*0.5*HLOOKUP(VLOOKUP($G$8,$J$1:$K$2,2,0),$B$1:$C$4,2,0),P11+12*0.5*HLOOKUP(VLOOKUP($G$8,$J$1:$K$2,2,0),$B$1:$C$4,2,0)),0)</f>
        <v>0</v>
      </c>
      <c r="Q12" s="1"/>
      <c r="R12" s="1"/>
    </row>
    <row r="13" spans="1:28">
      <c r="A13" s="5">
        <f t="shared" ca="1" si="4"/>
        <v>44594.25</v>
      </c>
      <c r="B13">
        <f t="shared" si="5"/>
        <v>65</v>
      </c>
      <c r="C13">
        <f t="shared" ca="1" si="5"/>
        <v>55.086242299794662</v>
      </c>
      <c r="D13">
        <f ca="1">IF(AND(R13&gt;Q13,R13&gt;O13),62,IF(Q13&gt;O13,"FRA",70))</f>
        <v>70</v>
      </c>
      <c r="G13" s="1">
        <v>0</v>
      </c>
      <c r="H13" s="1">
        <v>0</v>
      </c>
      <c r="I13" s="1">
        <f t="shared" si="6"/>
        <v>42000</v>
      </c>
      <c r="J13" s="1">
        <f t="shared" ref="J13:J58" si="8">J12+12*0.325*HLOOKUP(VLOOKUP($L$8,$J$1:$K$2,2,0),$B$1:$C$4,2,0)</f>
        <v>29575</v>
      </c>
      <c r="K13" s="1">
        <v>0</v>
      </c>
      <c r="L13" s="1">
        <f t="shared" ca="1" si="3"/>
        <v>0</v>
      </c>
      <c r="M13" s="1">
        <f t="shared" ca="1" si="1"/>
        <v>0</v>
      </c>
      <c r="N13" s="1">
        <f t="shared" ca="1" si="2"/>
        <v>0</v>
      </c>
      <c r="O13" s="1">
        <f ca="1">IF($C13&gt;=62.083,IF(O12=0,IF(DAY(MAX($G$1,$G$3))=1,12,11)*0.325*HLOOKUP(VLOOKUP($G$8,$J$1:$K$2,2,0),$B$1:$C$4,2,0),O12+12*0.325*HLOOKUP(VLOOKUP($G$8,$J$1:$K$2,2,0),$B$1:$C$4,2,0)),0)</f>
        <v>0</v>
      </c>
      <c r="P13" s="1">
        <f t="shared" ca="1" si="7"/>
        <v>0</v>
      </c>
      <c r="Q13" s="1"/>
      <c r="R13" s="1"/>
    </row>
    <row r="14" spans="1:28">
      <c r="A14" s="5">
        <f t="shared" ca="1" si="4"/>
        <v>44959.5</v>
      </c>
      <c r="B14">
        <f t="shared" si="5"/>
        <v>66</v>
      </c>
      <c r="C14">
        <f t="shared" ca="1" si="5"/>
        <v>56.086242299794662</v>
      </c>
      <c r="D14">
        <f ca="1">IF(AND(R14&gt;Q14,R14&gt;O14),62,IF(Q14&gt;O14,"FRA",70))</f>
        <v>70</v>
      </c>
      <c r="G14" s="1">
        <v>0</v>
      </c>
      <c r="H14" s="1">
        <v>0</v>
      </c>
      <c r="I14" s="1">
        <f t="shared" si="6"/>
        <v>56400</v>
      </c>
      <c r="J14" s="1">
        <f t="shared" si="8"/>
        <v>39715</v>
      </c>
      <c r="K14" s="1">
        <f>IF(DAY(MIN($G$1,$G$3))=1,12,11)*0.5*HLOOKUP(VLOOKUP($L$8,$J$1:$K$2,2,0),$B$1:$C$4,2,0)</f>
        <v>14300</v>
      </c>
      <c r="L14" s="1">
        <f t="shared" ca="1" si="3"/>
        <v>0</v>
      </c>
      <c r="M14" s="1">
        <f t="shared" ca="1" si="1"/>
        <v>0</v>
      </c>
      <c r="N14" s="1">
        <f t="shared" ca="1" si="2"/>
        <v>0</v>
      </c>
      <c r="O14" s="1">
        <f ca="1">IF($C14&gt;=62.083,IF(O13=0,IF(DAY(MAX($G$1,$G$3))=1,12,11)*0.325*HLOOKUP(VLOOKUP($G$8,$J$1:$K$2,2,0),$B$1:$C$4,2,0),O13+12*0.325*HLOOKUP(VLOOKUP($G$8,$J$1:$K$2,2,0),$B$1:$C$4,2,0)),0)</f>
        <v>0</v>
      </c>
      <c r="P14" s="1">
        <f t="shared" ca="1" si="7"/>
        <v>0</v>
      </c>
      <c r="Q14" s="1"/>
      <c r="R14" s="1"/>
    </row>
    <row r="15" spans="1:28">
      <c r="A15" s="5">
        <f t="shared" ca="1" si="4"/>
        <v>45324.75</v>
      </c>
      <c r="B15">
        <f t="shared" si="5"/>
        <v>67</v>
      </c>
      <c r="C15">
        <f t="shared" ca="1" si="5"/>
        <v>57.086242299794662</v>
      </c>
      <c r="D15">
        <f ca="1">IF(AND(R15&gt;Q15,R15&gt;O15),62,IF(Q15&gt;O15,"FRA",70))</f>
        <v>70</v>
      </c>
      <c r="G15" s="1">
        <v>0</v>
      </c>
      <c r="H15" s="1">
        <f>IF(DAY(MIN($G$1,$G$3))=1,8,7)*HLOOKUP(VLOOKUP($G$8,$J$1:$K$2,2,0),$B$1:$C$4,2,0)</f>
        <v>14700</v>
      </c>
      <c r="I15" s="1">
        <f t="shared" si="6"/>
        <v>70800</v>
      </c>
      <c r="J15" s="1">
        <f t="shared" si="8"/>
        <v>49855</v>
      </c>
      <c r="K15" s="1">
        <f>K14+12*0.5*HLOOKUP(VLOOKUP($L$8,$J$1:$K$2,2,0),$B$1:$C$4,2,0)</f>
        <v>29900</v>
      </c>
      <c r="L15" s="1">
        <f t="shared" ca="1" si="3"/>
        <v>0</v>
      </c>
      <c r="M15" s="1">
        <f t="shared" ca="1" si="1"/>
        <v>0</v>
      </c>
      <c r="N15" s="1">
        <f t="shared" ca="1" si="2"/>
        <v>0</v>
      </c>
      <c r="O15" s="1">
        <f ca="1">IF($C15&gt;=62.083,IF(O14=0,IF(DAY(MAX($G$1,$G$3))=1,12,11)*0.325*HLOOKUP(VLOOKUP($G$8,$J$1:$K$2,2,0),$B$1:$C$4,2,0),O14+12*0.325*HLOOKUP(VLOOKUP($G$8,$J$1:$K$2,2,0),$B$1:$C$4,2,0)),0)</f>
        <v>0</v>
      </c>
      <c r="P15" s="1">
        <f t="shared" ca="1" si="7"/>
        <v>0</v>
      </c>
      <c r="Q15" s="1"/>
      <c r="R15" s="1"/>
    </row>
    <row r="16" spans="1:28">
      <c r="A16" s="5">
        <f t="shared" ca="1" si="4"/>
        <v>45690</v>
      </c>
      <c r="B16">
        <f t="shared" si="5"/>
        <v>68</v>
      </c>
      <c r="C16">
        <f t="shared" ca="1" si="5"/>
        <v>58.086242299794662</v>
      </c>
      <c r="D16">
        <f ca="1">IF(AND(R16&gt;Q16,R16&gt;O16),62,IF(Q16&gt;O16,"FRA",70))</f>
        <v>70</v>
      </c>
      <c r="G16" s="1">
        <v>0</v>
      </c>
      <c r="H16" s="1">
        <f t="shared" ref="H16:H58" si="9">H15+HLOOKUP(VLOOKUP($G$8,$J$1:$K$2,2,0),$B$1:$C$4,2,0)*12</f>
        <v>39900</v>
      </c>
      <c r="I16" s="1">
        <f t="shared" si="6"/>
        <v>85200</v>
      </c>
      <c r="J16" s="1">
        <f t="shared" si="8"/>
        <v>59995</v>
      </c>
      <c r="K16" s="1">
        <f t="shared" ref="K13:K58" si="10">K15+12*0.5*HLOOKUP(VLOOKUP($L$8,$J$1:$K$2,2,0),$B$1:$C$4,2,0)</f>
        <v>45500</v>
      </c>
      <c r="L16" s="1">
        <f t="shared" ca="1" si="3"/>
        <v>0</v>
      </c>
      <c r="M16" s="1">
        <f t="shared" ca="1" si="1"/>
        <v>0</v>
      </c>
      <c r="N16" s="1">
        <f t="shared" ca="1" si="2"/>
        <v>0</v>
      </c>
      <c r="O16" s="1">
        <f ca="1">IF($C16&gt;=62.083,IF(O15=0,IF(DAY(MAX($G$1,$G$3))=1,12,11)*0.325*HLOOKUP(VLOOKUP($G$8,$J$1:$K$2,2,0),$B$1:$C$4,2,0),O15+12*0.325*HLOOKUP(VLOOKUP($G$8,$J$1:$K$2,2,0),$B$1:$C$4,2,0)),0)</f>
        <v>0</v>
      </c>
      <c r="P16" s="1">
        <f t="shared" ca="1" si="7"/>
        <v>0</v>
      </c>
      <c r="Q16" s="1"/>
      <c r="R16" s="1"/>
    </row>
    <row r="17" spans="1:18">
      <c r="A17" s="5">
        <f t="shared" ca="1" si="4"/>
        <v>46055.25</v>
      </c>
      <c r="B17">
        <f t="shared" si="5"/>
        <v>69</v>
      </c>
      <c r="C17">
        <f t="shared" ca="1" si="5"/>
        <v>59.086242299794662</v>
      </c>
      <c r="D17">
        <f ca="1">IF(AND(R17&gt;Q17,R17&gt;O17),62,IF(Q17&gt;O17,"FRA",70))</f>
        <v>70</v>
      </c>
      <c r="G17" s="1">
        <v>0</v>
      </c>
      <c r="H17" s="1">
        <f t="shared" si="9"/>
        <v>65100</v>
      </c>
      <c r="I17" s="1">
        <f t="shared" si="6"/>
        <v>99600</v>
      </c>
      <c r="J17" s="1">
        <f t="shared" si="8"/>
        <v>70135</v>
      </c>
      <c r="K17" s="1">
        <f t="shared" si="10"/>
        <v>61100</v>
      </c>
      <c r="L17" s="1">
        <f t="shared" ca="1" si="3"/>
        <v>0</v>
      </c>
      <c r="M17" s="1">
        <f t="shared" ca="1" si="1"/>
        <v>0</v>
      </c>
      <c r="N17" s="1">
        <f t="shared" ca="1" si="2"/>
        <v>0</v>
      </c>
      <c r="O17" s="1">
        <f ca="1">IF($C17&gt;=62.083,IF(O16=0,IF(DAY(MAX($G$1,$G$3))=1,12,11)*0.325*HLOOKUP(VLOOKUP($G$8,$J$1:$K$2,2,0),$B$1:$C$4,2,0),O16+12*0.325*HLOOKUP(VLOOKUP($G$8,$J$1:$K$2,2,0),$B$1:$C$4,2,0)),0)</f>
        <v>0</v>
      </c>
      <c r="P17" s="1">
        <f t="shared" ca="1" si="7"/>
        <v>0</v>
      </c>
      <c r="Q17" s="1"/>
      <c r="R17" s="1"/>
    </row>
    <row r="18" spans="1:18">
      <c r="A18" s="5">
        <f t="shared" ca="1" si="4"/>
        <v>46420.5</v>
      </c>
      <c r="B18">
        <f t="shared" si="5"/>
        <v>70</v>
      </c>
      <c r="C18">
        <f t="shared" ca="1" si="5"/>
        <v>60.086242299794662</v>
      </c>
      <c r="D18">
        <f ca="1">IF(AND(R18&gt;Q18,R18&gt;O18),62,IF(Q18&gt;O18,"FRA",70))</f>
        <v>70</v>
      </c>
      <c r="G18" s="1">
        <v>0</v>
      </c>
      <c r="H18" s="1">
        <f t="shared" si="9"/>
        <v>90300</v>
      </c>
      <c r="I18" s="1">
        <f t="shared" si="6"/>
        <v>114000</v>
      </c>
      <c r="J18" s="1">
        <f t="shared" si="8"/>
        <v>80275</v>
      </c>
      <c r="K18" s="1">
        <f t="shared" si="10"/>
        <v>76700</v>
      </c>
      <c r="L18" s="1">
        <f t="shared" ca="1" si="3"/>
        <v>0</v>
      </c>
      <c r="M18" s="1">
        <f t="shared" ca="1" si="1"/>
        <v>0</v>
      </c>
      <c r="N18" s="1">
        <f t="shared" ca="1" si="2"/>
        <v>0</v>
      </c>
      <c r="O18" s="1">
        <f ca="1">IF($C18&gt;=62.083,IF(O17=0,IF(DAY(MAX($G$1,$G$3))=1,12,11)*0.325*HLOOKUP(VLOOKUP($G$8,$J$1:$K$2,2,0),$B$1:$C$4,2,0),O17+12*0.325*HLOOKUP(VLOOKUP($G$8,$J$1:$K$2,2,0),$B$1:$C$4,2,0)),0)</f>
        <v>0</v>
      </c>
      <c r="P18" s="1">
        <f t="shared" ca="1" si="7"/>
        <v>0</v>
      </c>
      <c r="Q18" s="1"/>
      <c r="R18" s="1"/>
    </row>
    <row r="19" spans="1:18">
      <c r="A19" s="5">
        <f t="shared" ca="1" si="4"/>
        <v>46785.75</v>
      </c>
      <c r="B19">
        <f t="shared" si="5"/>
        <v>71</v>
      </c>
      <c r="C19">
        <f t="shared" ca="1" si="5"/>
        <v>61.086242299794662</v>
      </c>
      <c r="D19">
        <f ca="1">IF(AND(R19&gt;Q19,R19&gt;O19),62,IF(Q19&gt;O19,"FRA",70))</f>
        <v>70</v>
      </c>
      <c r="G19" s="1">
        <f>IF(DAY(MIN($G$1,$G$3))=1,12,11)*HLOOKUP(VLOOKUP($G$8,$J$1:$K$2,2,0),$B$1:$C$4,3,0)</f>
        <v>27500</v>
      </c>
      <c r="H19" s="1">
        <f t="shared" si="9"/>
        <v>115500</v>
      </c>
      <c r="I19" s="1">
        <f t="shared" si="6"/>
        <v>128400</v>
      </c>
      <c r="J19" s="1">
        <f t="shared" si="8"/>
        <v>90415</v>
      </c>
      <c r="K19" s="1">
        <f t="shared" si="10"/>
        <v>92300</v>
      </c>
      <c r="L19" s="1">
        <f t="shared" ca="1" si="3"/>
        <v>0</v>
      </c>
      <c r="M19" s="1">
        <f t="shared" ca="1" si="1"/>
        <v>0</v>
      </c>
      <c r="N19" s="1">
        <f t="shared" ca="1" si="2"/>
        <v>0</v>
      </c>
      <c r="O19" s="1">
        <f ca="1">IF($C19&gt;=62.083,IF(O18=0,IF(DAY(MAX($G$1,$G$3))=1,12,11)*0.325*HLOOKUP(VLOOKUP($G$8,$J$1:$K$2,2,0),$B$1:$C$4,2,0),O18+12*0.325*HLOOKUP(VLOOKUP($G$8,$J$1:$K$2,2,0),$B$1:$C$4,2,0)),0)</f>
        <v>0</v>
      </c>
      <c r="P19" s="1">
        <f t="shared" ca="1" si="7"/>
        <v>0</v>
      </c>
      <c r="Q19" s="1"/>
      <c r="R19" s="1"/>
    </row>
    <row r="20" spans="1:18">
      <c r="A20" s="5">
        <f t="shared" ca="1" si="4"/>
        <v>47151</v>
      </c>
      <c r="B20">
        <f t="shared" si="5"/>
        <v>72</v>
      </c>
      <c r="C20">
        <f t="shared" ca="1" si="5"/>
        <v>62.086242299794662</v>
      </c>
      <c r="D20">
        <f ca="1">IF(AND(R20&gt;Q20,R20&gt;O20),62,IF(Q20&gt;O20,"FRA",70))</f>
        <v>70</v>
      </c>
      <c r="G20" s="1">
        <f t="shared" ref="G20:G58" si="11">G19+12*HLOOKUP(VLOOKUP($G$8,$J$1:$K$2,2,0),$B$1:$C$4,3,0)</f>
        <v>57500</v>
      </c>
      <c r="H20" s="1">
        <f t="shared" si="9"/>
        <v>140700</v>
      </c>
      <c r="I20" s="1">
        <f t="shared" si="6"/>
        <v>142800</v>
      </c>
      <c r="J20" s="1">
        <f t="shared" si="8"/>
        <v>100555</v>
      </c>
      <c r="K20" s="1">
        <f t="shared" si="10"/>
        <v>107900</v>
      </c>
      <c r="L20" s="1">
        <f ca="1">IF($C20&gt;=70.083,IF(L19=0,IF(DAY(MAX($G$1,$G$3))=1,12,11)*HLOOKUP(VLOOKUP($L$8,$J$1:$K$2,2,0),$B$1:$C$4,3,0),L19+12*HLOOKUP(VLOOKUP($L$8,$J$1:$K$2,2,0),$B$1:$C$4,3,0)),0)</f>
        <v>0</v>
      </c>
      <c r="M20" s="1">
        <f t="shared" ca="1" si="1"/>
        <v>0</v>
      </c>
      <c r="N20" s="1">
        <f ca="1">IF($C20&gt;=62.083,IF(N19=0,IF(DAY(MAX($G$1,$G$3))=1,12,11)*HLOOKUP(VLOOKUP($L$8,$J$1:$K$2,2,0),$B$1:$C$4,4,0),N19+12*HLOOKUP(VLOOKUP($L$8,$J$1:$K$2,2,0),$B$1:$C$4,4,0)),0)</f>
        <v>18700</v>
      </c>
      <c r="O20" s="1">
        <f ca="1">IF($C20&gt;=62.083,IF(O19=0,IF(DAY(MAX($G$1,$G$3))=1,12,11)*0.325*HLOOKUP(VLOOKUP($G$8,$J$1:$K$2,2,0),$B$1:$C$4,2,0),O19+12*0.325*HLOOKUP(VLOOKUP($G$8,$J$1:$K$2,2,0),$B$1:$C$4,2,0)),0)</f>
        <v>7507.5</v>
      </c>
      <c r="P20" s="1">
        <f t="shared" ca="1" si="7"/>
        <v>0</v>
      </c>
      <c r="Q20" s="1"/>
      <c r="R20" s="1"/>
    </row>
    <row r="21" spans="1:18">
      <c r="A21" s="5">
        <f t="shared" ca="1" si="4"/>
        <v>47516.25</v>
      </c>
      <c r="B21">
        <f t="shared" si="5"/>
        <v>73</v>
      </c>
      <c r="C21">
        <f t="shared" ca="1" si="5"/>
        <v>63.086242299794662</v>
      </c>
      <c r="D21">
        <f ca="1">IF(AND(R21&gt;Q21,R21&gt;O21),62,IF(Q21&gt;O21,"FRA",70))</f>
        <v>70</v>
      </c>
      <c r="G21" s="1">
        <f t="shared" si="11"/>
        <v>87500</v>
      </c>
      <c r="H21" s="1">
        <f t="shared" si="9"/>
        <v>165900</v>
      </c>
      <c r="I21" s="1">
        <f t="shared" si="6"/>
        <v>157200</v>
      </c>
      <c r="J21" s="1">
        <f t="shared" si="8"/>
        <v>110695</v>
      </c>
      <c r="K21" s="1">
        <f t="shared" si="10"/>
        <v>123500</v>
      </c>
      <c r="L21" s="1">
        <f t="shared" ref="L21:L58" ca="1" si="12">IF($C21&gt;=70.083,IF(L20=0,IF(DAY(MAX($G$1,$G$3))=1,12,11)*HLOOKUP(VLOOKUP($L$8,$J$1:$K$2,2,0),$B$1:$C$4,3,0),L20+12*HLOOKUP(VLOOKUP($L$8,$J$1:$K$2,2,0),$B$1:$C$4,3,0)),0)</f>
        <v>0</v>
      </c>
      <c r="M21" s="1">
        <f t="shared" ca="1" si="1"/>
        <v>0</v>
      </c>
      <c r="N21" s="1">
        <f t="shared" ref="N21:N58" ca="1" si="13">IF($C21&gt;=62.083,IF(N20=0,IF(DAY(MAX($G$1,$G$3))=1,12,11)*HLOOKUP(VLOOKUP($L$8,$J$1:$K$2,2,0),$B$1:$C$4,4,0),N20+12*HLOOKUP(VLOOKUP($L$8,$J$1:$K$2,2,0),$B$1:$C$4,4,0)),0)</f>
        <v>39100</v>
      </c>
      <c r="O21" s="1">
        <f ca="1">IF($C21&gt;=62.083,IF(O20=0,IF(DAY(MAX($G$1,$G$3))=1,12,11)*0.325*HLOOKUP(VLOOKUP($G$8,$J$1:$K$2,2,0),$B$1:$C$4,2,0),O20+12*0.325*HLOOKUP(VLOOKUP($G$8,$J$1:$K$2,2,0),$B$1:$C$4,2,0)),0)</f>
        <v>15697.5</v>
      </c>
      <c r="P21" s="1">
        <f t="shared" ca="1" si="7"/>
        <v>0</v>
      </c>
      <c r="Q21" s="1"/>
      <c r="R21" s="1"/>
    </row>
    <row r="22" spans="1:18">
      <c r="A22" s="5">
        <f t="shared" ca="1" si="4"/>
        <v>47881.5</v>
      </c>
      <c r="B22">
        <f t="shared" si="5"/>
        <v>74</v>
      </c>
      <c r="C22">
        <f t="shared" ca="1" si="5"/>
        <v>64.086242299794662</v>
      </c>
      <c r="D22">
        <f ca="1">IF(AND(R22&gt;Q22,R22&gt;O22),62,IF(Q22&gt;O22,"FRA",70))</f>
        <v>70</v>
      </c>
      <c r="G22" s="1">
        <f t="shared" si="11"/>
        <v>117500</v>
      </c>
      <c r="H22" s="1">
        <f t="shared" si="9"/>
        <v>191100</v>
      </c>
      <c r="I22" s="1">
        <f t="shared" si="6"/>
        <v>171600</v>
      </c>
      <c r="J22" s="1">
        <f t="shared" si="8"/>
        <v>120835</v>
      </c>
      <c r="K22" s="1">
        <f t="shared" si="10"/>
        <v>139100</v>
      </c>
      <c r="L22" s="1">
        <f t="shared" ca="1" si="12"/>
        <v>0</v>
      </c>
      <c r="M22" s="1">
        <f t="shared" ca="1" si="1"/>
        <v>0</v>
      </c>
      <c r="N22" s="1">
        <f t="shared" ca="1" si="13"/>
        <v>59500</v>
      </c>
      <c r="O22" s="1">
        <f ca="1">IF($C22&gt;=62.083,IF(O21=0,IF(DAY(MAX($G$1,$G$3))=1,12,11)*0.325*HLOOKUP(VLOOKUP($G$8,$J$1:$K$2,2,0),$B$1:$C$4,2,0),O21+12*0.325*HLOOKUP(VLOOKUP($G$8,$J$1:$K$2,2,0),$B$1:$C$4,2,0)),0)</f>
        <v>23887.5</v>
      </c>
      <c r="P22" s="1">
        <f t="shared" ca="1" si="7"/>
        <v>0</v>
      </c>
      <c r="Q22" s="1"/>
      <c r="R22" s="1"/>
    </row>
    <row r="23" spans="1:18">
      <c r="A23" s="5">
        <f t="shared" ca="1" si="4"/>
        <v>48246.75</v>
      </c>
      <c r="B23">
        <f t="shared" si="5"/>
        <v>75</v>
      </c>
      <c r="C23">
        <f t="shared" ca="1" si="5"/>
        <v>65.086242299794662</v>
      </c>
      <c r="D23">
        <f ca="1">IF(AND(R23&gt;Q23,R23&gt;O23),62,IF(Q23&gt;O23,"FRA",70))</f>
        <v>70</v>
      </c>
      <c r="G23" s="1">
        <f t="shared" si="11"/>
        <v>147500</v>
      </c>
      <c r="H23" s="1">
        <f t="shared" si="9"/>
        <v>216300</v>
      </c>
      <c r="I23" s="1">
        <f t="shared" si="6"/>
        <v>186000</v>
      </c>
      <c r="J23" s="1">
        <f t="shared" si="8"/>
        <v>130975</v>
      </c>
      <c r="K23" s="1">
        <f t="shared" si="10"/>
        <v>154700</v>
      </c>
      <c r="L23" s="1">
        <f t="shared" ca="1" si="12"/>
        <v>0</v>
      </c>
      <c r="M23" s="1">
        <f t="shared" ca="1" si="1"/>
        <v>0</v>
      </c>
      <c r="N23" s="1">
        <f t="shared" ca="1" si="13"/>
        <v>79900</v>
      </c>
      <c r="O23" s="1">
        <f ca="1">IF($C23&gt;=62.083,IF(O22=0,IF(DAY(MAX($G$1,$G$3))=1,12,11)*0.325*HLOOKUP(VLOOKUP($G$8,$J$1:$K$2,2,0),$B$1:$C$4,2,0),O22+12*0.325*HLOOKUP(VLOOKUP($G$8,$J$1:$K$2,2,0),$B$1:$C$4,2,0)),0)</f>
        <v>32077.5</v>
      </c>
      <c r="P23" s="1">
        <f t="shared" ca="1" si="7"/>
        <v>0</v>
      </c>
      <c r="Q23" s="1"/>
      <c r="R23" s="1"/>
    </row>
    <row r="24" spans="1:18">
      <c r="A24" s="5">
        <f t="shared" ca="1" si="4"/>
        <v>48612</v>
      </c>
      <c r="B24">
        <f t="shared" si="5"/>
        <v>76</v>
      </c>
      <c r="C24">
        <f t="shared" ca="1" si="5"/>
        <v>66.086242299794662</v>
      </c>
      <c r="D24">
        <f ca="1">IF(AND(R24&gt;Q24,R24&gt;O24),62,IF(Q24&gt;O24,"FRA",70))</f>
        <v>70</v>
      </c>
      <c r="G24" s="1">
        <f t="shared" si="11"/>
        <v>177500</v>
      </c>
      <c r="H24" s="1">
        <f t="shared" si="9"/>
        <v>241500</v>
      </c>
      <c r="I24" s="1">
        <f t="shared" si="6"/>
        <v>200400</v>
      </c>
      <c r="J24" s="1">
        <f t="shared" si="8"/>
        <v>141115</v>
      </c>
      <c r="K24" s="1">
        <f t="shared" si="10"/>
        <v>170300</v>
      </c>
      <c r="L24" s="1">
        <f t="shared" ca="1" si="12"/>
        <v>0</v>
      </c>
      <c r="M24" s="1">
        <f t="shared" ca="1" si="1"/>
        <v>0</v>
      </c>
      <c r="N24" s="1">
        <f t="shared" ca="1" si="13"/>
        <v>100300</v>
      </c>
      <c r="O24" s="1">
        <f ca="1">IF($C24&gt;=62.083,IF(O23=0,IF(DAY(MAX($G$1,$G$3))=1,12,11)*0.325*HLOOKUP(VLOOKUP($G$8,$J$1:$K$2,2,0),$B$1:$C$4,2,0),O23+12*0.325*HLOOKUP(VLOOKUP($G$8,$J$1:$K$2,2,0),$B$1:$C$4,2,0)),0)</f>
        <v>40267.5</v>
      </c>
      <c r="P24" s="1">
        <f t="shared" ca="1" si="7"/>
        <v>0</v>
      </c>
      <c r="Q24" s="1"/>
      <c r="R24" s="1"/>
    </row>
    <row r="25" spans="1:18">
      <c r="A25" s="5">
        <f t="shared" ca="1" si="4"/>
        <v>48977.25</v>
      </c>
      <c r="B25">
        <f t="shared" si="5"/>
        <v>77</v>
      </c>
      <c r="C25">
        <f t="shared" ca="1" si="5"/>
        <v>67.086242299794662</v>
      </c>
      <c r="D25">
        <f ca="1">IF(AND(R25&gt;Q25,R25&gt;O25),62,IF(Q25&gt;O25,"FRA",70))</f>
        <v>70</v>
      </c>
      <c r="G25" s="1">
        <f t="shared" si="11"/>
        <v>207500</v>
      </c>
      <c r="H25" s="1">
        <f t="shared" si="9"/>
        <v>266700</v>
      </c>
      <c r="I25" s="1">
        <f t="shared" si="6"/>
        <v>214800</v>
      </c>
      <c r="J25" s="1">
        <f t="shared" si="8"/>
        <v>151255</v>
      </c>
      <c r="K25" s="1">
        <f t="shared" si="10"/>
        <v>185900</v>
      </c>
      <c r="L25" s="1">
        <f t="shared" ca="1" si="12"/>
        <v>0</v>
      </c>
      <c r="M25" s="1">
        <f ca="1">IF($C25&gt;=(66+1/3),IF(M24=0,IF(DAY(MAX($G$1,$G$3))=1,8,7)*HLOOKUP(VLOOKUP($L$8,$J$1:$K$2,2,0),$B$1:$C$4,2,0),M24+12*HLOOKUP(VLOOKUP($L$8,$J$1:$K$2,2,0),$B$1:$C$4,2,0)),0)</f>
        <v>18200</v>
      </c>
      <c r="N25" s="1">
        <f t="shared" ca="1" si="13"/>
        <v>120700</v>
      </c>
      <c r="O25" s="1">
        <f ca="1">IF($C25&gt;=62.083,IF(O24=0,IF(DAY(MAX($G$1,$G$3))=1,12,11)*0.325*HLOOKUP(VLOOKUP($G$8,$J$1:$K$2,2,0),$B$1:$C$4,2,0),O24+12*0.325*HLOOKUP(VLOOKUP($G$8,$J$1:$K$2,2,0),$B$1:$C$4,2,0)),0)</f>
        <v>48457.5</v>
      </c>
      <c r="P25" s="1">
        <f ca="1">IF($C25&gt;=(66+1/3),IF(P24=0,IF(DAY(MAX($G$1,$G$3))=1,8,7)*0.5*HLOOKUP(VLOOKUP($G$8,$J$1:$K$2,2,0),$B$1:$C$4,2,0),P24+12*0.5*HLOOKUP(VLOOKUP($G$8,$J$1:$K$2,2,0),$B$1:$C$4,2,0)),0)</f>
        <v>7350</v>
      </c>
      <c r="Q25" s="1"/>
      <c r="R25" s="1"/>
    </row>
    <row r="26" spans="1:18">
      <c r="A26" s="5">
        <f t="shared" ca="1" si="4"/>
        <v>49342.5</v>
      </c>
      <c r="B26">
        <f t="shared" si="5"/>
        <v>78</v>
      </c>
      <c r="C26">
        <f t="shared" ca="1" si="5"/>
        <v>68.086242299794662</v>
      </c>
      <c r="D26">
        <f ca="1">IF(AND(R26&gt;Q26,R26&gt;O26),62,IF(Q26&gt;O26,"FRA",70))</f>
        <v>70</v>
      </c>
      <c r="G26" s="1">
        <f t="shared" si="11"/>
        <v>237500</v>
      </c>
      <c r="H26" s="1">
        <f t="shared" si="9"/>
        <v>291900</v>
      </c>
      <c r="I26" s="1">
        <f t="shared" si="6"/>
        <v>229200</v>
      </c>
      <c r="J26" s="1">
        <f t="shared" si="8"/>
        <v>161395</v>
      </c>
      <c r="K26" s="1">
        <f t="shared" si="10"/>
        <v>201500</v>
      </c>
      <c r="L26" s="1">
        <f t="shared" ca="1" si="12"/>
        <v>0</v>
      </c>
      <c r="M26" s="1">
        <f t="shared" ref="M26:M58" ca="1" si="14">IF($C26&gt;=(66+1/3),IF(M25=0,IF(DAY(MAX($G$1,$G$3))=1,8,7)*HLOOKUP(VLOOKUP($L$8,$J$1:$K$2,2,0),$B$1:$C$4,2,0),M25+12*HLOOKUP(VLOOKUP($L$8,$J$1:$K$2,2,0),$B$1:$C$4,2,0)),0)</f>
        <v>49400</v>
      </c>
      <c r="N26" s="1">
        <f t="shared" ca="1" si="13"/>
        <v>141100</v>
      </c>
      <c r="O26" s="1">
        <f ca="1">IF($C26&gt;=62.083,IF(O25=0,IF(DAY(MAX($G$1,$G$3))=1,12,11)*0.325*HLOOKUP(VLOOKUP($G$8,$J$1:$K$2,2,0),$B$1:$C$4,2,0),O25+12*0.325*HLOOKUP(VLOOKUP($G$8,$J$1:$K$2,2,0),$B$1:$C$4,2,0)),0)</f>
        <v>56647.5</v>
      </c>
      <c r="P26" s="1">
        <f t="shared" ca="1" si="7"/>
        <v>19950</v>
      </c>
      <c r="Q26" s="1"/>
      <c r="R26" s="1"/>
    </row>
    <row r="27" spans="1:18">
      <c r="A27" s="5">
        <f t="shared" ca="1" si="4"/>
        <v>49707.75</v>
      </c>
      <c r="B27">
        <f t="shared" si="5"/>
        <v>79</v>
      </c>
      <c r="C27">
        <f t="shared" ca="1" si="5"/>
        <v>69.086242299794662</v>
      </c>
      <c r="D27">
        <f ca="1">IF(AND(R27&gt;Q27,R27&gt;O27),62,IF(Q27&gt;O27,"FRA",70))</f>
        <v>70</v>
      </c>
      <c r="G27" s="1">
        <f t="shared" si="11"/>
        <v>267500</v>
      </c>
      <c r="H27" s="1">
        <f t="shared" si="9"/>
        <v>317100</v>
      </c>
      <c r="I27" s="1">
        <f t="shared" si="6"/>
        <v>243600</v>
      </c>
      <c r="J27" s="1">
        <f t="shared" si="8"/>
        <v>171535</v>
      </c>
      <c r="K27" s="1">
        <f t="shared" si="10"/>
        <v>217100</v>
      </c>
      <c r="L27" s="1">
        <f t="shared" ca="1" si="12"/>
        <v>0</v>
      </c>
      <c r="M27" s="1">
        <f t="shared" ca="1" si="14"/>
        <v>80600</v>
      </c>
      <c r="N27" s="1">
        <f t="shared" ca="1" si="13"/>
        <v>161500</v>
      </c>
      <c r="O27" s="1">
        <f ca="1">IF($C27&gt;=62.083,IF(O26=0,IF(DAY(MAX($G$1,$G$3))=1,12,11)*0.325*HLOOKUP(VLOOKUP($G$8,$J$1:$K$2,2,0),$B$1:$C$4,2,0),O26+12*0.325*HLOOKUP(VLOOKUP($G$8,$J$1:$K$2,2,0),$B$1:$C$4,2,0)),0)</f>
        <v>64837.5</v>
      </c>
      <c r="P27" s="1">
        <f t="shared" ca="1" si="7"/>
        <v>32550</v>
      </c>
      <c r="Q27" s="1"/>
      <c r="R27" s="1"/>
    </row>
    <row r="28" spans="1:18">
      <c r="A28" s="5">
        <f t="shared" ca="1" si="4"/>
        <v>50073</v>
      </c>
      <c r="B28">
        <f t="shared" si="5"/>
        <v>80</v>
      </c>
      <c r="C28">
        <f t="shared" ca="1" si="5"/>
        <v>70.086242299794662</v>
      </c>
      <c r="D28">
        <f ca="1">IF(AND(R28&gt;Q28,R28&gt;O28),62,IF(Q28&gt;O28,"FRA",70))</f>
        <v>70</v>
      </c>
      <c r="G28" s="1">
        <f t="shared" si="11"/>
        <v>297500</v>
      </c>
      <c r="H28" s="1">
        <f t="shared" si="9"/>
        <v>342300</v>
      </c>
      <c r="I28" s="1">
        <f t="shared" si="6"/>
        <v>258000</v>
      </c>
      <c r="J28" s="1">
        <f t="shared" si="8"/>
        <v>181675</v>
      </c>
      <c r="K28" s="1">
        <f t="shared" si="10"/>
        <v>232700</v>
      </c>
      <c r="L28" s="1">
        <f ca="1">IF($C28&gt;=70.083,IF(L27=0,IF(DAY(MAX($G$1,$G$3))=1,12,11)*HLOOKUP(VLOOKUP($L$8,$J$1:$K$2,2,0),$B$1:$C$4,3,0),L27+12*HLOOKUP(VLOOKUP($L$8,$J$1:$K$2,2,0),$B$1:$C$4,3,0)),0)</f>
        <v>33000</v>
      </c>
      <c r="M28" s="1">
        <f t="shared" ca="1" si="14"/>
        <v>111800</v>
      </c>
      <c r="N28" s="1">
        <f t="shared" ca="1" si="13"/>
        <v>181900</v>
      </c>
      <c r="O28" s="1">
        <f ca="1">IF($C28&gt;=62.083,IF(O27=0,IF(DAY(MAX($G$1,$G$3))=1,12,11)*0.325*HLOOKUP(VLOOKUP($G$8,$J$1:$K$2,2,0),$B$1:$C$4,2,0),O27+12*0.325*HLOOKUP(VLOOKUP($G$8,$J$1:$K$2,2,0),$B$1:$C$4,2,0)),0)</f>
        <v>73027.5</v>
      </c>
      <c r="P28" s="1">
        <f t="shared" ca="1" si="7"/>
        <v>45150</v>
      </c>
      <c r="Q28" s="1"/>
      <c r="R28" s="1"/>
    </row>
    <row r="29" spans="1:18">
      <c r="A29" s="5">
        <f t="shared" ca="1" si="4"/>
        <v>50438.25</v>
      </c>
      <c r="B29">
        <f t="shared" si="5"/>
        <v>81</v>
      </c>
      <c r="C29">
        <f t="shared" ca="1" si="5"/>
        <v>71.086242299794662</v>
      </c>
      <c r="D29">
        <f ca="1">IF(AND(R29&gt;Q29,R29&gt;O29),62,IF(Q29&gt;O29,"FRA",70))</f>
        <v>70</v>
      </c>
      <c r="G29" s="1">
        <f t="shared" si="11"/>
        <v>327500</v>
      </c>
      <c r="H29" s="1">
        <f t="shared" si="9"/>
        <v>367500</v>
      </c>
      <c r="I29" s="1">
        <f t="shared" si="6"/>
        <v>272400</v>
      </c>
      <c r="J29" s="1">
        <f t="shared" si="8"/>
        <v>191815</v>
      </c>
      <c r="K29" s="1">
        <f t="shared" si="10"/>
        <v>248300</v>
      </c>
      <c r="L29" s="1">
        <f t="shared" ca="1" si="12"/>
        <v>69000</v>
      </c>
      <c r="M29" s="1">
        <f t="shared" ca="1" si="14"/>
        <v>143000</v>
      </c>
      <c r="N29" s="1">
        <f t="shared" ca="1" si="13"/>
        <v>202300</v>
      </c>
      <c r="O29" s="1">
        <f ca="1">IF($C29&gt;=62.083,IF(O28=0,IF(DAY(MAX($G$1,$G$3))=1,12,11)*0.325*HLOOKUP(VLOOKUP($G$8,$J$1:$K$2,2,0),$B$1:$C$4,2,0),O28+12*0.325*HLOOKUP(VLOOKUP($G$8,$J$1:$K$2,2,0),$B$1:$C$4,2,0)),0)</f>
        <v>81217.5</v>
      </c>
      <c r="P29" s="1">
        <f t="shared" ca="1" si="7"/>
        <v>57750</v>
      </c>
      <c r="Q29" s="1"/>
      <c r="R29" s="1"/>
    </row>
    <row r="30" spans="1:18">
      <c r="A30" s="5">
        <f t="shared" ca="1" si="4"/>
        <v>50803.5</v>
      </c>
      <c r="B30">
        <f t="shared" si="5"/>
        <v>82</v>
      </c>
      <c r="C30">
        <f t="shared" ca="1" si="5"/>
        <v>72.086242299794662</v>
      </c>
      <c r="D30">
        <f ca="1">IF(AND(R30&gt;Q30,R30&gt;O30),62,IF(Q30&gt;O30,"FRA",70))</f>
        <v>70</v>
      </c>
      <c r="G30" s="1">
        <f t="shared" si="11"/>
        <v>357500</v>
      </c>
      <c r="H30" s="1">
        <f t="shared" si="9"/>
        <v>392700</v>
      </c>
      <c r="I30" s="1">
        <f t="shared" si="6"/>
        <v>286800</v>
      </c>
      <c r="J30" s="1">
        <f t="shared" si="8"/>
        <v>201955</v>
      </c>
      <c r="K30" s="1">
        <f t="shared" si="10"/>
        <v>263900</v>
      </c>
      <c r="L30" s="1">
        <f t="shared" ca="1" si="12"/>
        <v>105000</v>
      </c>
      <c r="M30" s="1">
        <f t="shared" ca="1" si="14"/>
        <v>174200</v>
      </c>
      <c r="N30" s="1">
        <f t="shared" ca="1" si="13"/>
        <v>222700</v>
      </c>
      <c r="O30" s="1">
        <f ca="1">IF($C30&gt;=62.083,IF(O29=0,IF(DAY(MAX($G$1,$G$3))=1,12,11)*0.325*HLOOKUP(VLOOKUP($G$8,$J$1:$K$2,2,0),$B$1:$C$4,2,0),O29+12*0.325*HLOOKUP(VLOOKUP($G$8,$J$1:$K$2,2,0),$B$1:$C$4,2,0)),0)</f>
        <v>89407.5</v>
      </c>
      <c r="P30" s="1">
        <f t="shared" ca="1" si="7"/>
        <v>70350</v>
      </c>
      <c r="Q30" s="1"/>
      <c r="R30" s="1"/>
    </row>
    <row r="31" spans="1:18">
      <c r="A31" s="5">
        <f t="shared" ca="1" si="4"/>
        <v>51168.75</v>
      </c>
      <c r="B31">
        <f t="shared" si="5"/>
        <v>83</v>
      </c>
      <c r="C31">
        <f t="shared" ca="1" si="5"/>
        <v>73.086242299794662</v>
      </c>
      <c r="D31">
        <f ca="1">IF(AND(R31&gt;Q31,R31&gt;O31),62,IF(Q31&gt;O31,"FRA",70))</f>
        <v>70</v>
      </c>
      <c r="G31" s="1">
        <f t="shared" si="11"/>
        <v>387500</v>
      </c>
      <c r="H31" s="1">
        <f t="shared" si="9"/>
        <v>417900</v>
      </c>
      <c r="I31" s="1">
        <f t="shared" si="6"/>
        <v>301200</v>
      </c>
      <c r="J31" s="1">
        <f t="shared" si="8"/>
        <v>212095</v>
      </c>
      <c r="K31" s="1">
        <f t="shared" si="10"/>
        <v>279500</v>
      </c>
      <c r="L31" s="1">
        <f t="shared" ca="1" si="12"/>
        <v>141000</v>
      </c>
      <c r="M31" s="1">
        <f t="shared" ca="1" si="14"/>
        <v>205400</v>
      </c>
      <c r="N31" s="1">
        <f t="shared" ca="1" si="13"/>
        <v>243100</v>
      </c>
      <c r="O31" s="1">
        <f ca="1">IF($C31&gt;=62.083,IF(O30=0,IF(DAY(MAX($G$1,$G$3))=1,12,11)*0.325*HLOOKUP(VLOOKUP($G$8,$J$1:$K$2,2,0),$B$1:$C$4,2,0),O30+12*0.325*HLOOKUP(VLOOKUP($G$8,$J$1:$K$2,2,0),$B$1:$C$4,2,0)),0)</f>
        <v>97597.5</v>
      </c>
      <c r="P31" s="1">
        <f t="shared" ca="1" si="7"/>
        <v>82950</v>
      </c>
      <c r="Q31" s="1"/>
      <c r="R31" s="1"/>
    </row>
    <row r="32" spans="1:18">
      <c r="A32" s="5">
        <f t="shared" ca="1" si="4"/>
        <v>51534</v>
      </c>
      <c r="B32">
        <f t="shared" si="5"/>
        <v>84</v>
      </c>
      <c r="C32">
        <f t="shared" ca="1" si="5"/>
        <v>74.086242299794662</v>
      </c>
      <c r="D32">
        <f ca="1">IF(AND(R32&gt;Q32,R32&gt;O32),62,IF(Q32&gt;O32,"FRA",70))</f>
        <v>70</v>
      </c>
      <c r="G32" s="1">
        <f t="shared" si="11"/>
        <v>417500</v>
      </c>
      <c r="H32" s="1">
        <f t="shared" si="9"/>
        <v>443100</v>
      </c>
      <c r="I32" s="1">
        <f t="shared" si="6"/>
        <v>315600</v>
      </c>
      <c r="J32" s="1">
        <f t="shared" si="8"/>
        <v>222235</v>
      </c>
      <c r="K32" s="1">
        <f t="shared" si="10"/>
        <v>295100</v>
      </c>
      <c r="L32" s="1">
        <f t="shared" ca="1" si="12"/>
        <v>177000</v>
      </c>
      <c r="M32" s="1">
        <f t="shared" ca="1" si="14"/>
        <v>236600</v>
      </c>
      <c r="N32" s="1">
        <f t="shared" ca="1" si="13"/>
        <v>263500</v>
      </c>
      <c r="O32" s="1">
        <f ca="1">IF($C32&gt;=62.083,IF(O31=0,IF(DAY(MAX($G$1,$G$3))=1,12,11)*0.325*HLOOKUP(VLOOKUP($G$8,$J$1:$K$2,2,0),$B$1:$C$4,2,0),O31+12*0.325*HLOOKUP(VLOOKUP($G$8,$J$1:$K$2,2,0),$B$1:$C$4,2,0)),0)</f>
        <v>105787.5</v>
      </c>
      <c r="P32" s="1">
        <f t="shared" ca="1" si="7"/>
        <v>95550</v>
      </c>
      <c r="Q32" s="1"/>
      <c r="R32" s="1"/>
    </row>
    <row r="33" spans="1:18">
      <c r="A33" s="5">
        <f t="shared" ca="1" si="4"/>
        <v>51899.25</v>
      </c>
      <c r="B33">
        <f t="shared" si="5"/>
        <v>85</v>
      </c>
      <c r="C33">
        <f t="shared" ca="1" si="5"/>
        <v>75.086242299794662</v>
      </c>
      <c r="D33">
        <f ca="1">IF(AND(R33&gt;Q33,R33&gt;O33),62,IF(Q33&gt;O33,"FRA",70))</f>
        <v>70</v>
      </c>
      <c r="G33" s="1">
        <f t="shared" si="11"/>
        <v>447500</v>
      </c>
      <c r="H33" s="1">
        <f t="shared" si="9"/>
        <v>468300</v>
      </c>
      <c r="I33" s="1">
        <f t="shared" si="6"/>
        <v>330000</v>
      </c>
      <c r="J33" s="1">
        <f t="shared" si="8"/>
        <v>232375</v>
      </c>
      <c r="K33" s="1">
        <f t="shared" si="10"/>
        <v>310700</v>
      </c>
      <c r="L33" s="1">
        <f t="shared" ca="1" si="12"/>
        <v>213000</v>
      </c>
      <c r="M33" s="1">
        <f t="shared" ca="1" si="14"/>
        <v>267800</v>
      </c>
      <c r="N33" s="1">
        <f t="shared" ca="1" si="13"/>
        <v>283900</v>
      </c>
      <c r="O33" s="1">
        <f ca="1">IF($C33&gt;=62.083,IF(O32=0,IF(DAY(MAX($G$1,$G$3))=1,12,11)*0.325*HLOOKUP(VLOOKUP($G$8,$J$1:$K$2,2,0),$B$1:$C$4,2,0),O32+12*0.325*HLOOKUP(VLOOKUP($G$8,$J$1:$K$2,2,0),$B$1:$C$4,2,0)),0)</f>
        <v>113977.5</v>
      </c>
      <c r="P33" s="1">
        <f t="shared" ca="1" si="7"/>
        <v>108150</v>
      </c>
      <c r="Q33" s="1"/>
      <c r="R33" s="1"/>
    </row>
    <row r="34" spans="1:18">
      <c r="A34" s="5">
        <f t="shared" ca="1" si="4"/>
        <v>52264.5</v>
      </c>
      <c r="B34">
        <f t="shared" si="5"/>
        <v>86</v>
      </c>
      <c r="C34">
        <f t="shared" ca="1" si="5"/>
        <v>76.086242299794662</v>
      </c>
      <c r="D34">
        <f ca="1">IF(AND(R34&gt;Q34,R34&gt;O34),62,IF(Q34&gt;O34,"FRA",70))</f>
        <v>70</v>
      </c>
      <c r="G34" s="1">
        <f t="shared" si="11"/>
        <v>477500</v>
      </c>
      <c r="H34" s="1">
        <f t="shared" si="9"/>
        <v>493500</v>
      </c>
      <c r="I34" s="1">
        <f t="shared" si="6"/>
        <v>344400</v>
      </c>
      <c r="J34" s="1">
        <f t="shared" si="8"/>
        <v>242515</v>
      </c>
      <c r="K34" s="1">
        <f t="shared" si="10"/>
        <v>326300</v>
      </c>
      <c r="L34" s="1">
        <f t="shared" ca="1" si="12"/>
        <v>249000</v>
      </c>
      <c r="M34" s="1">
        <f t="shared" ca="1" si="14"/>
        <v>299000</v>
      </c>
      <c r="N34" s="1">
        <f t="shared" ca="1" si="13"/>
        <v>304300</v>
      </c>
      <c r="O34" s="1">
        <f ca="1">IF($C34&gt;=62.083,IF(O33=0,IF(DAY(MAX($G$1,$G$3))=1,12,11)*0.325*HLOOKUP(VLOOKUP($G$8,$J$1:$K$2,2,0),$B$1:$C$4,2,0),O33+12*0.325*HLOOKUP(VLOOKUP($G$8,$J$1:$K$2,2,0),$B$1:$C$4,2,0)),0)</f>
        <v>122167.5</v>
      </c>
      <c r="P34" s="1">
        <f t="shared" ca="1" si="7"/>
        <v>120750</v>
      </c>
      <c r="Q34" s="1"/>
      <c r="R34" s="1"/>
    </row>
    <row r="35" spans="1:18">
      <c r="A35" s="5">
        <f t="shared" ca="1" si="4"/>
        <v>52629.75</v>
      </c>
      <c r="B35">
        <f t="shared" si="5"/>
        <v>87</v>
      </c>
      <c r="C35">
        <f t="shared" ca="1" si="5"/>
        <v>77.086242299794662</v>
      </c>
      <c r="D35">
        <f ca="1">IF(AND(R35&gt;Q35,R35&gt;O35),62,IF(Q35&gt;O35,"FRA",70))</f>
        <v>70</v>
      </c>
      <c r="G35" s="1">
        <f t="shared" si="11"/>
        <v>507500</v>
      </c>
      <c r="H35" s="1">
        <f t="shared" si="9"/>
        <v>518700</v>
      </c>
      <c r="I35" s="1">
        <f t="shared" si="6"/>
        <v>358800</v>
      </c>
      <c r="J35" s="1">
        <f t="shared" si="8"/>
        <v>252655</v>
      </c>
      <c r="K35" s="1">
        <f t="shared" si="10"/>
        <v>341900</v>
      </c>
      <c r="L35" s="1">
        <f t="shared" ca="1" si="12"/>
        <v>285000</v>
      </c>
      <c r="M35" s="1">
        <f t="shared" ca="1" si="14"/>
        <v>330200</v>
      </c>
      <c r="N35" s="1">
        <f t="shared" ca="1" si="13"/>
        <v>324700</v>
      </c>
      <c r="O35" s="1">
        <f ca="1">IF($C35&gt;=62.083,IF(O34=0,IF(DAY(MAX($G$1,$G$3))=1,12,11)*0.325*HLOOKUP(VLOOKUP($G$8,$J$1:$K$2,2,0),$B$1:$C$4,2,0),O34+12*0.325*HLOOKUP(VLOOKUP($G$8,$J$1:$K$2,2,0),$B$1:$C$4,2,0)),0)</f>
        <v>130357.5</v>
      </c>
      <c r="P35" s="1">
        <f t="shared" ca="1" si="7"/>
        <v>133350</v>
      </c>
      <c r="Q35" s="1"/>
      <c r="R35" s="1"/>
    </row>
    <row r="36" spans="1:18">
      <c r="A36" s="5">
        <f t="shared" ca="1" si="4"/>
        <v>52995</v>
      </c>
      <c r="B36">
        <f t="shared" si="5"/>
        <v>88</v>
      </c>
      <c r="C36">
        <f t="shared" ca="1" si="5"/>
        <v>78.086242299794662</v>
      </c>
      <c r="D36">
        <f ca="1">IF(AND(R36&gt;Q36,R36&gt;O36),62,IF(Q36&gt;O36,"FRA",70))</f>
        <v>70</v>
      </c>
      <c r="G36" s="1">
        <f t="shared" si="11"/>
        <v>537500</v>
      </c>
      <c r="H36" s="1">
        <f t="shared" si="9"/>
        <v>543900</v>
      </c>
      <c r="I36" s="1">
        <f t="shared" si="6"/>
        <v>373200</v>
      </c>
      <c r="J36" s="1">
        <f t="shared" si="8"/>
        <v>262795</v>
      </c>
      <c r="K36" s="1">
        <f t="shared" si="10"/>
        <v>357500</v>
      </c>
      <c r="L36" s="1">
        <f t="shared" ca="1" si="12"/>
        <v>321000</v>
      </c>
      <c r="M36" s="1">
        <f t="shared" ca="1" si="14"/>
        <v>361400</v>
      </c>
      <c r="N36" s="1">
        <f t="shared" ca="1" si="13"/>
        <v>345100</v>
      </c>
      <c r="O36" s="1">
        <f ca="1">IF($C36&gt;=62.083,IF(O35=0,IF(DAY(MAX($G$1,$G$3))=1,12,11)*0.325*HLOOKUP(VLOOKUP($G$8,$J$1:$K$2,2,0),$B$1:$C$4,2,0),O35+12*0.325*HLOOKUP(VLOOKUP($G$8,$J$1:$K$2,2,0),$B$1:$C$4,2,0)),0)</f>
        <v>138547.5</v>
      </c>
      <c r="P36" s="1">
        <f t="shared" ca="1" si="7"/>
        <v>145950</v>
      </c>
      <c r="Q36" s="1"/>
      <c r="R36" s="1"/>
    </row>
    <row r="37" spans="1:18">
      <c r="A37" s="5">
        <f t="shared" ca="1" si="4"/>
        <v>53360.25</v>
      </c>
      <c r="B37">
        <f t="shared" si="5"/>
        <v>89</v>
      </c>
      <c r="C37">
        <f t="shared" ca="1" si="5"/>
        <v>79.086242299794662</v>
      </c>
      <c r="D37">
        <f ca="1">IF(AND(R37&gt;Q37,R37&gt;O37),62,IF(Q37&gt;O37,"FRA",70))</f>
        <v>70</v>
      </c>
      <c r="G37" s="1">
        <f t="shared" si="11"/>
        <v>567500</v>
      </c>
      <c r="H37" s="1">
        <f t="shared" si="9"/>
        <v>569100</v>
      </c>
      <c r="I37" s="1">
        <f t="shared" si="6"/>
        <v>387600</v>
      </c>
      <c r="J37" s="1">
        <f t="shared" si="8"/>
        <v>272935</v>
      </c>
      <c r="K37" s="1">
        <f t="shared" si="10"/>
        <v>373100</v>
      </c>
      <c r="L37" s="1">
        <f t="shared" ca="1" si="12"/>
        <v>357000</v>
      </c>
      <c r="M37" s="1">
        <f t="shared" ca="1" si="14"/>
        <v>392600</v>
      </c>
      <c r="N37" s="1">
        <f t="shared" ca="1" si="13"/>
        <v>365500</v>
      </c>
      <c r="O37" s="1">
        <f ca="1">IF($C37&gt;=62.083,IF(O36=0,IF(DAY(MAX($G$1,$G$3))=1,12,11)*0.325*HLOOKUP(VLOOKUP($G$8,$J$1:$K$2,2,0),$B$1:$C$4,2,0),O36+12*0.325*HLOOKUP(VLOOKUP($G$8,$J$1:$K$2,2,0),$B$1:$C$4,2,0)),0)</f>
        <v>146737.5</v>
      </c>
      <c r="P37" s="1">
        <f t="shared" ca="1" si="7"/>
        <v>158550</v>
      </c>
      <c r="Q37" s="1"/>
      <c r="R37" s="1"/>
    </row>
    <row r="38" spans="1:18">
      <c r="A38" s="5">
        <f t="shared" ca="1" si="4"/>
        <v>53725.5</v>
      </c>
      <c r="B38">
        <f t="shared" si="5"/>
        <v>90</v>
      </c>
      <c r="C38">
        <f t="shared" ca="1" si="5"/>
        <v>80.086242299794662</v>
      </c>
      <c r="D38">
        <f ca="1">IF(AND(R38&gt;Q38,R38&gt;O38),62,IF(Q38&gt;O38,"FRA",70))</f>
        <v>70</v>
      </c>
      <c r="G38" s="1">
        <f t="shared" si="11"/>
        <v>597500</v>
      </c>
      <c r="H38" s="1">
        <f t="shared" si="9"/>
        <v>594300</v>
      </c>
      <c r="I38" s="1">
        <f t="shared" si="6"/>
        <v>402000</v>
      </c>
      <c r="J38" s="1">
        <f t="shared" si="8"/>
        <v>283075</v>
      </c>
      <c r="K38" s="1">
        <f t="shared" si="10"/>
        <v>388700</v>
      </c>
      <c r="L38" s="1">
        <f t="shared" ca="1" si="12"/>
        <v>393000</v>
      </c>
      <c r="M38" s="1">
        <f t="shared" ca="1" si="14"/>
        <v>423800</v>
      </c>
      <c r="N38" s="1">
        <f t="shared" ca="1" si="13"/>
        <v>385900</v>
      </c>
      <c r="O38" s="1">
        <f ca="1">IF($C38&gt;=62.083,IF(O37=0,IF(DAY(MAX($G$1,$G$3))=1,12,11)*0.325*HLOOKUP(VLOOKUP($G$8,$J$1:$K$2,2,0),$B$1:$C$4,2,0),O37+12*0.325*HLOOKUP(VLOOKUP($G$8,$J$1:$K$2,2,0),$B$1:$C$4,2,0)),0)</f>
        <v>154927.5</v>
      </c>
      <c r="P38" s="1">
        <f t="shared" ca="1" si="7"/>
        <v>171150</v>
      </c>
      <c r="Q38" s="1"/>
      <c r="R38" s="1"/>
    </row>
    <row r="39" spans="1:18">
      <c r="A39" s="5">
        <f t="shared" ca="1" si="4"/>
        <v>54090.75</v>
      </c>
      <c r="B39">
        <f t="shared" si="5"/>
        <v>91</v>
      </c>
      <c r="C39">
        <f t="shared" ca="1" si="5"/>
        <v>81.086242299794662</v>
      </c>
      <c r="D39">
        <f ca="1">IF(AND(R39&gt;Q39,R39&gt;O39),62,IF(Q39&gt;O39,"FRA",70))</f>
        <v>70</v>
      </c>
      <c r="G39" s="1">
        <f t="shared" si="11"/>
        <v>627500</v>
      </c>
      <c r="H39" s="1">
        <f t="shared" si="9"/>
        <v>619500</v>
      </c>
      <c r="I39" s="1">
        <f t="shared" si="6"/>
        <v>416400</v>
      </c>
      <c r="J39" s="1">
        <f t="shared" si="8"/>
        <v>293215</v>
      </c>
      <c r="K39" s="1">
        <f t="shared" si="10"/>
        <v>404300</v>
      </c>
      <c r="L39" s="1">
        <f t="shared" ca="1" si="12"/>
        <v>429000</v>
      </c>
      <c r="M39" s="1">
        <f t="shared" ca="1" si="14"/>
        <v>455000</v>
      </c>
      <c r="N39" s="1">
        <f t="shared" ca="1" si="13"/>
        <v>406300</v>
      </c>
      <c r="O39" s="1">
        <f ca="1">IF($C39&gt;=62.083,IF(O38=0,IF(DAY(MAX($G$1,$G$3))=1,12,11)*0.325*HLOOKUP(VLOOKUP($G$8,$J$1:$K$2,2,0),$B$1:$C$4,2,0),O38+12*0.325*HLOOKUP(VLOOKUP($G$8,$J$1:$K$2,2,0),$B$1:$C$4,2,0)),0)</f>
        <v>163117.5</v>
      </c>
      <c r="P39" s="1">
        <f t="shared" ca="1" si="7"/>
        <v>183750</v>
      </c>
      <c r="Q39" s="1"/>
      <c r="R39" s="1"/>
    </row>
    <row r="40" spans="1:18">
      <c r="A40" s="5">
        <f t="shared" ca="1" si="4"/>
        <v>54456</v>
      </c>
      <c r="B40">
        <f t="shared" si="5"/>
        <v>92</v>
      </c>
      <c r="C40">
        <f t="shared" ca="1" si="5"/>
        <v>82.086242299794662</v>
      </c>
      <c r="D40">
        <f ca="1">IF(AND(R40&gt;Q40,R40&gt;O40),62,IF(Q40&gt;O40,"FRA",70))</f>
        <v>70</v>
      </c>
      <c r="G40" s="1">
        <f t="shared" si="11"/>
        <v>657500</v>
      </c>
      <c r="H40" s="1">
        <f t="shared" si="9"/>
        <v>644700</v>
      </c>
      <c r="I40" s="1">
        <f t="shared" si="6"/>
        <v>430800</v>
      </c>
      <c r="J40" s="1">
        <f t="shared" si="8"/>
        <v>303355</v>
      </c>
      <c r="K40" s="1">
        <f t="shared" si="10"/>
        <v>419900</v>
      </c>
      <c r="L40" s="1">
        <f t="shared" ca="1" si="12"/>
        <v>465000</v>
      </c>
      <c r="M40" s="1">
        <f t="shared" ca="1" si="14"/>
        <v>486200</v>
      </c>
      <c r="N40" s="1">
        <f t="shared" ca="1" si="13"/>
        <v>426700</v>
      </c>
      <c r="O40" s="1">
        <f ca="1">IF($C40&gt;=62.083,IF(O39=0,IF(DAY(MAX($G$1,$G$3))=1,12,11)*0.325*HLOOKUP(VLOOKUP($G$8,$J$1:$K$2,2,0),$B$1:$C$4,2,0),O39+12*0.325*HLOOKUP(VLOOKUP($G$8,$J$1:$K$2,2,0),$B$1:$C$4,2,0)),0)</f>
        <v>171307.5</v>
      </c>
      <c r="P40" s="1">
        <f t="shared" ca="1" si="7"/>
        <v>196350</v>
      </c>
      <c r="Q40" s="1"/>
      <c r="R40" s="1"/>
    </row>
    <row r="41" spans="1:18">
      <c r="A41" s="5">
        <f t="shared" ca="1" si="4"/>
        <v>54821.25</v>
      </c>
      <c r="B41">
        <f t="shared" si="5"/>
        <v>93</v>
      </c>
      <c r="C41">
        <f t="shared" ca="1" si="5"/>
        <v>83.086242299794662</v>
      </c>
      <c r="D41">
        <f ca="1">IF(AND(R41&gt;Q41,R41&gt;O41),62,IF(Q41&gt;O41,"FRA",70))</f>
        <v>70</v>
      </c>
      <c r="G41" s="1">
        <f t="shared" si="11"/>
        <v>687500</v>
      </c>
      <c r="H41" s="1">
        <f t="shared" si="9"/>
        <v>669900</v>
      </c>
      <c r="I41" s="1">
        <f t="shared" si="6"/>
        <v>445200</v>
      </c>
      <c r="J41" s="1">
        <f t="shared" si="8"/>
        <v>313495</v>
      </c>
      <c r="K41" s="1">
        <f t="shared" si="10"/>
        <v>435500</v>
      </c>
      <c r="L41" s="1">
        <f t="shared" ca="1" si="12"/>
        <v>501000</v>
      </c>
      <c r="M41" s="1">
        <f t="shared" ca="1" si="14"/>
        <v>517400</v>
      </c>
      <c r="N41" s="1">
        <f t="shared" ca="1" si="13"/>
        <v>447100</v>
      </c>
      <c r="O41" s="1">
        <f ca="1">IF($C41&gt;=62.083,IF(O40=0,IF(DAY(MAX($G$1,$G$3))=1,12,11)*0.325*HLOOKUP(VLOOKUP($G$8,$J$1:$K$2,2,0),$B$1:$C$4,2,0),O40+12*0.325*HLOOKUP(VLOOKUP($G$8,$J$1:$K$2,2,0),$B$1:$C$4,2,0)),0)</f>
        <v>179497.5</v>
      </c>
      <c r="P41" s="1">
        <f t="shared" ca="1" si="7"/>
        <v>208950</v>
      </c>
      <c r="Q41" s="1"/>
      <c r="R41" s="1"/>
    </row>
    <row r="42" spans="1:18">
      <c r="A42" s="5">
        <f t="shared" ca="1" si="4"/>
        <v>55186.5</v>
      </c>
      <c r="B42">
        <f t="shared" si="5"/>
        <v>94</v>
      </c>
      <c r="C42">
        <f t="shared" ca="1" si="5"/>
        <v>84.086242299794662</v>
      </c>
      <c r="D42">
        <f ca="1">IF(AND(R42&gt;Q42,R42&gt;O42),62,IF(Q42&gt;O42,"FRA",70))</f>
        <v>70</v>
      </c>
      <c r="G42" s="1">
        <f t="shared" si="11"/>
        <v>717500</v>
      </c>
      <c r="H42" s="1">
        <f t="shared" si="9"/>
        <v>695100</v>
      </c>
      <c r="I42" s="1">
        <f t="shared" si="6"/>
        <v>459600</v>
      </c>
      <c r="J42" s="1">
        <f t="shared" si="8"/>
        <v>323635</v>
      </c>
      <c r="K42" s="1">
        <f t="shared" si="10"/>
        <v>451100</v>
      </c>
      <c r="L42" s="1">
        <f t="shared" ca="1" si="12"/>
        <v>537000</v>
      </c>
      <c r="M42" s="1">
        <f t="shared" ca="1" si="14"/>
        <v>548600</v>
      </c>
      <c r="N42" s="1">
        <f t="shared" ca="1" si="13"/>
        <v>467500</v>
      </c>
      <c r="O42" s="1">
        <f ca="1">IF($C42&gt;=62.083,IF(O41=0,IF(DAY(MAX($G$1,$G$3))=1,12,11)*0.325*HLOOKUP(VLOOKUP($G$8,$J$1:$K$2,2,0),$B$1:$C$4,2,0),O41+12*0.325*HLOOKUP(VLOOKUP($G$8,$J$1:$K$2,2,0),$B$1:$C$4,2,0)),0)</f>
        <v>187687.5</v>
      </c>
      <c r="P42" s="1">
        <f t="shared" ca="1" si="7"/>
        <v>221550</v>
      </c>
      <c r="Q42" s="1"/>
      <c r="R42" s="1"/>
    </row>
    <row r="43" spans="1:18">
      <c r="A43" s="5">
        <f t="shared" ca="1" si="4"/>
        <v>55551.75</v>
      </c>
      <c r="B43">
        <f t="shared" si="5"/>
        <v>95</v>
      </c>
      <c r="C43">
        <f t="shared" ca="1" si="5"/>
        <v>85.086242299794662</v>
      </c>
      <c r="D43">
        <f ca="1">IF(AND(R43&gt;Q43,R43&gt;O43),62,IF(Q43&gt;O43,"FRA",70))</f>
        <v>70</v>
      </c>
      <c r="G43" s="1">
        <f t="shared" si="11"/>
        <v>747500</v>
      </c>
      <c r="H43" s="1">
        <f t="shared" si="9"/>
        <v>720300</v>
      </c>
      <c r="I43" s="1">
        <f t="shared" si="6"/>
        <v>474000</v>
      </c>
      <c r="J43" s="1">
        <f t="shared" si="8"/>
        <v>333775</v>
      </c>
      <c r="K43" s="1">
        <f t="shared" si="10"/>
        <v>466700</v>
      </c>
      <c r="L43" s="1">
        <f t="shared" ca="1" si="12"/>
        <v>573000</v>
      </c>
      <c r="M43" s="1">
        <f t="shared" ca="1" si="14"/>
        <v>579800</v>
      </c>
      <c r="N43" s="1">
        <f t="shared" ca="1" si="13"/>
        <v>487900</v>
      </c>
      <c r="O43" s="1">
        <f ca="1">IF($C43&gt;=62.083,IF(O42=0,IF(DAY(MAX($G$1,$G$3))=1,12,11)*0.325*HLOOKUP(VLOOKUP($G$8,$J$1:$K$2,2,0),$B$1:$C$4,2,0),O42+12*0.325*HLOOKUP(VLOOKUP($G$8,$J$1:$K$2,2,0),$B$1:$C$4,2,0)),0)</f>
        <v>195877.5</v>
      </c>
      <c r="P43" s="1">
        <f t="shared" ca="1" si="7"/>
        <v>234150</v>
      </c>
      <c r="Q43" s="1"/>
      <c r="R43" s="1"/>
    </row>
    <row r="44" spans="1:18">
      <c r="A44" s="5">
        <f t="shared" ca="1" si="4"/>
        <v>55917</v>
      </c>
      <c r="B44">
        <f t="shared" si="5"/>
        <v>96</v>
      </c>
      <c r="C44">
        <f t="shared" ca="1" si="5"/>
        <v>86.086242299794662</v>
      </c>
      <c r="D44">
        <f ca="1">IF(AND(R44&gt;Q44,R44&gt;O44),62,IF(Q44&gt;O44,"FRA",70))</f>
        <v>70</v>
      </c>
      <c r="G44" s="1">
        <f t="shared" si="11"/>
        <v>777500</v>
      </c>
      <c r="H44" s="1">
        <f t="shared" si="9"/>
        <v>745500</v>
      </c>
      <c r="I44" s="1">
        <f t="shared" si="6"/>
        <v>488400</v>
      </c>
      <c r="J44" s="1">
        <f t="shared" si="8"/>
        <v>343915</v>
      </c>
      <c r="K44" s="1">
        <f t="shared" si="10"/>
        <v>482300</v>
      </c>
      <c r="L44" s="1">
        <f t="shared" ca="1" si="12"/>
        <v>609000</v>
      </c>
      <c r="M44" s="1">
        <f t="shared" ca="1" si="14"/>
        <v>611000</v>
      </c>
      <c r="N44" s="1">
        <f t="shared" ca="1" si="13"/>
        <v>508300</v>
      </c>
      <c r="O44" s="1">
        <f ca="1">IF($C44&gt;=62.083,IF(O43=0,IF(DAY(MAX($G$1,$G$3))=1,12,11)*0.325*HLOOKUP(VLOOKUP($G$8,$J$1:$K$2,2,0),$B$1:$C$4,2,0),O43+12*0.325*HLOOKUP(VLOOKUP($G$8,$J$1:$K$2,2,0),$B$1:$C$4,2,0)),0)</f>
        <v>204067.5</v>
      </c>
      <c r="P44" s="1">
        <f t="shared" ca="1" si="7"/>
        <v>246750</v>
      </c>
      <c r="Q44" s="1"/>
      <c r="R44" s="1"/>
    </row>
    <row r="45" spans="1:18">
      <c r="A45" s="5">
        <f t="shared" ca="1" si="4"/>
        <v>56282.25</v>
      </c>
      <c r="B45">
        <f t="shared" si="5"/>
        <v>97</v>
      </c>
      <c r="C45">
        <f t="shared" ca="1" si="5"/>
        <v>87.086242299794662</v>
      </c>
      <c r="D45">
        <f ca="1">IF(AND(R45&gt;Q45,R45&gt;O45),62,IF(Q45&gt;O45,"FRA",70))</f>
        <v>70</v>
      </c>
      <c r="G45" s="1">
        <f t="shared" si="11"/>
        <v>807500</v>
      </c>
      <c r="H45" s="1">
        <f t="shared" si="9"/>
        <v>770700</v>
      </c>
      <c r="I45" s="1">
        <f t="shared" si="6"/>
        <v>502800</v>
      </c>
      <c r="J45" s="1">
        <f t="shared" si="8"/>
        <v>354055</v>
      </c>
      <c r="K45" s="1">
        <f t="shared" si="10"/>
        <v>497900</v>
      </c>
      <c r="L45" s="1">
        <f t="shared" ca="1" si="12"/>
        <v>645000</v>
      </c>
      <c r="M45" s="1">
        <f t="shared" ca="1" si="14"/>
        <v>642200</v>
      </c>
      <c r="N45" s="1">
        <f t="shared" ca="1" si="13"/>
        <v>528700</v>
      </c>
      <c r="O45" s="1">
        <f ca="1">IF($C45&gt;=62.083,IF(O44=0,IF(DAY(MAX($G$1,$G$3))=1,12,11)*0.325*HLOOKUP(VLOOKUP($G$8,$J$1:$K$2,2,0),$B$1:$C$4,2,0),O44+12*0.325*HLOOKUP(VLOOKUP($G$8,$J$1:$K$2,2,0),$B$1:$C$4,2,0)),0)</f>
        <v>212257.5</v>
      </c>
      <c r="P45" s="1">
        <f t="shared" ca="1" si="7"/>
        <v>259350</v>
      </c>
      <c r="Q45" s="1"/>
      <c r="R45" s="1"/>
    </row>
    <row r="46" spans="1:18">
      <c r="A46" s="5">
        <f t="shared" ca="1" si="4"/>
        <v>56647.5</v>
      </c>
      <c r="B46">
        <f t="shared" si="5"/>
        <v>98</v>
      </c>
      <c r="C46">
        <f t="shared" ca="1" si="5"/>
        <v>88.086242299794662</v>
      </c>
      <c r="D46">
        <f ca="1">IF(AND(R46&gt;Q46,R46&gt;O46),62,IF(Q46&gt;O46,"FRA",70))</f>
        <v>70</v>
      </c>
      <c r="G46" s="1">
        <f t="shared" si="11"/>
        <v>837500</v>
      </c>
      <c r="H46" s="1">
        <f t="shared" si="9"/>
        <v>795900</v>
      </c>
      <c r="I46" s="1">
        <f t="shared" si="6"/>
        <v>517200</v>
      </c>
      <c r="J46" s="1">
        <f t="shared" si="8"/>
        <v>364195</v>
      </c>
      <c r="K46" s="1">
        <f t="shared" si="10"/>
        <v>513500</v>
      </c>
      <c r="L46" s="1">
        <f t="shared" ca="1" si="12"/>
        <v>681000</v>
      </c>
      <c r="M46" s="1">
        <f t="shared" ca="1" si="14"/>
        <v>673400</v>
      </c>
      <c r="N46" s="1">
        <f t="shared" ca="1" si="13"/>
        <v>549100</v>
      </c>
      <c r="O46" s="1">
        <f ca="1">IF($C46&gt;=62.083,IF(O45=0,IF(DAY(MAX($G$1,$G$3))=1,12,11)*0.325*HLOOKUP(VLOOKUP($G$8,$J$1:$K$2,2,0),$B$1:$C$4,2,0),O45+12*0.325*HLOOKUP(VLOOKUP($G$8,$J$1:$K$2,2,0),$B$1:$C$4,2,0)),0)</f>
        <v>220447.5</v>
      </c>
      <c r="P46" s="1">
        <f t="shared" ca="1" si="7"/>
        <v>271950</v>
      </c>
      <c r="Q46" s="1"/>
      <c r="R46" s="1"/>
    </row>
    <row r="47" spans="1:18">
      <c r="A47" s="5">
        <f t="shared" ca="1" si="4"/>
        <v>57012.75</v>
      </c>
      <c r="B47">
        <f t="shared" si="5"/>
        <v>99</v>
      </c>
      <c r="C47">
        <f t="shared" ca="1" si="5"/>
        <v>89.086242299794662</v>
      </c>
      <c r="D47">
        <f ca="1">IF(AND(R47&gt;Q47,R47&gt;O47),62,IF(Q47&gt;O47,"FRA",70))</f>
        <v>70</v>
      </c>
      <c r="G47" s="1">
        <f t="shared" si="11"/>
        <v>867500</v>
      </c>
      <c r="H47" s="1">
        <f t="shared" si="9"/>
        <v>821100</v>
      </c>
      <c r="I47" s="1">
        <f t="shared" si="6"/>
        <v>531600</v>
      </c>
      <c r="J47" s="1">
        <f t="shared" si="8"/>
        <v>374335</v>
      </c>
      <c r="K47" s="1">
        <f t="shared" si="10"/>
        <v>529100</v>
      </c>
      <c r="L47" s="1">
        <f t="shared" ca="1" si="12"/>
        <v>717000</v>
      </c>
      <c r="M47" s="1">
        <f t="shared" ca="1" si="14"/>
        <v>704600</v>
      </c>
      <c r="N47" s="1">
        <f t="shared" ca="1" si="13"/>
        <v>569500</v>
      </c>
      <c r="O47" s="1">
        <f ca="1">IF($C47&gt;=62.083,IF(O46=0,IF(DAY(MAX($G$1,$G$3))=1,12,11)*0.325*HLOOKUP(VLOOKUP($G$8,$J$1:$K$2,2,0),$B$1:$C$4,2,0),O46+12*0.325*HLOOKUP(VLOOKUP($G$8,$J$1:$K$2,2,0),$B$1:$C$4,2,0)),0)</f>
        <v>228637.5</v>
      </c>
      <c r="P47" s="1">
        <f t="shared" ca="1" si="7"/>
        <v>284550</v>
      </c>
      <c r="Q47" s="1"/>
      <c r="R47" s="1"/>
    </row>
    <row r="48" spans="1:18">
      <c r="A48" s="5">
        <f t="shared" ca="1" si="4"/>
        <v>57378</v>
      </c>
      <c r="B48">
        <f t="shared" si="5"/>
        <v>100</v>
      </c>
      <c r="C48">
        <f t="shared" ca="1" si="5"/>
        <v>90.086242299794662</v>
      </c>
      <c r="D48">
        <f ca="1">IF(AND(R48&gt;Q48,R48&gt;O48),62,IF(Q48&gt;O48,"FRA",70))</f>
        <v>70</v>
      </c>
      <c r="G48" s="1">
        <f t="shared" si="11"/>
        <v>897500</v>
      </c>
      <c r="H48" s="1">
        <f t="shared" si="9"/>
        <v>846300</v>
      </c>
      <c r="I48" s="1">
        <f t="shared" si="6"/>
        <v>546000</v>
      </c>
      <c r="J48" s="1">
        <f t="shared" si="8"/>
        <v>384475</v>
      </c>
      <c r="K48" s="1">
        <f t="shared" si="10"/>
        <v>544700</v>
      </c>
      <c r="L48" s="1">
        <f t="shared" ca="1" si="12"/>
        <v>753000</v>
      </c>
      <c r="M48" s="1">
        <f t="shared" ca="1" si="14"/>
        <v>735800</v>
      </c>
      <c r="N48" s="1">
        <f t="shared" ca="1" si="13"/>
        <v>589900</v>
      </c>
      <c r="O48" s="1">
        <f ca="1">IF($C48&gt;=62.083,IF(O47=0,IF(DAY(MAX($G$1,$G$3))=1,12,11)*0.325*HLOOKUP(VLOOKUP($G$8,$J$1:$K$2,2,0),$B$1:$C$4,2,0),O47+12*0.325*HLOOKUP(VLOOKUP($G$8,$J$1:$K$2,2,0),$B$1:$C$4,2,0)),0)</f>
        <v>236827.5</v>
      </c>
      <c r="P48" s="1">
        <f t="shared" ca="1" si="7"/>
        <v>297150</v>
      </c>
      <c r="Q48" s="1"/>
      <c r="R48" s="1"/>
    </row>
    <row r="49" spans="1:18">
      <c r="A49" s="5">
        <f t="shared" ca="1" si="4"/>
        <v>57743.25</v>
      </c>
      <c r="B49">
        <f t="shared" si="5"/>
        <v>101</v>
      </c>
      <c r="C49">
        <f t="shared" ca="1" si="5"/>
        <v>91.086242299794662</v>
      </c>
      <c r="D49">
        <f ca="1">IF(AND(R49&gt;Q49,R49&gt;O49),62,IF(Q49&gt;O49,"FRA",70))</f>
        <v>70</v>
      </c>
      <c r="G49" s="1">
        <f t="shared" si="11"/>
        <v>927500</v>
      </c>
      <c r="H49" s="1">
        <f t="shared" si="9"/>
        <v>871500</v>
      </c>
      <c r="I49" s="1">
        <f t="shared" si="6"/>
        <v>560400</v>
      </c>
      <c r="J49" s="1">
        <f t="shared" si="8"/>
        <v>394615</v>
      </c>
      <c r="K49" s="1">
        <f t="shared" si="10"/>
        <v>560300</v>
      </c>
      <c r="L49" s="1">
        <f t="shared" ca="1" si="12"/>
        <v>789000</v>
      </c>
      <c r="M49" s="1">
        <f t="shared" ca="1" si="14"/>
        <v>767000</v>
      </c>
      <c r="N49" s="1">
        <f t="shared" ca="1" si="13"/>
        <v>610300</v>
      </c>
      <c r="O49" s="1">
        <f ca="1">IF($C49&gt;=62.083,IF(O48=0,IF(DAY(MAX($G$1,$G$3))=1,12,11)*0.325*HLOOKUP(VLOOKUP($G$8,$J$1:$K$2,2,0),$B$1:$C$4,2,0),O48+12*0.325*HLOOKUP(VLOOKUP($G$8,$J$1:$K$2,2,0),$B$1:$C$4,2,0)),0)</f>
        <v>245017.5</v>
      </c>
      <c r="P49" s="1">
        <f t="shared" ca="1" si="7"/>
        <v>309750</v>
      </c>
      <c r="Q49" s="1"/>
      <c r="R49" s="1"/>
    </row>
    <row r="50" spans="1:18">
      <c r="A50" s="5">
        <f t="shared" ca="1" si="4"/>
        <v>58108.5</v>
      </c>
      <c r="B50">
        <f t="shared" si="5"/>
        <v>102</v>
      </c>
      <c r="C50">
        <f t="shared" ca="1" si="5"/>
        <v>92.086242299794662</v>
      </c>
      <c r="D50">
        <f ca="1">IF(AND(R50&gt;Q50,R50&gt;O50),62,IF(Q50&gt;O50,"FRA",70))</f>
        <v>70</v>
      </c>
      <c r="G50" s="1">
        <f t="shared" si="11"/>
        <v>957500</v>
      </c>
      <c r="H50" s="1">
        <f t="shared" si="9"/>
        <v>896700</v>
      </c>
      <c r="I50" s="1">
        <f t="shared" si="6"/>
        <v>574800</v>
      </c>
      <c r="J50" s="1">
        <f t="shared" si="8"/>
        <v>404755</v>
      </c>
      <c r="K50" s="1">
        <f t="shared" si="10"/>
        <v>575900</v>
      </c>
      <c r="L50" s="1">
        <f t="shared" ca="1" si="12"/>
        <v>825000</v>
      </c>
      <c r="M50" s="1">
        <f t="shared" ca="1" si="14"/>
        <v>798200</v>
      </c>
      <c r="N50" s="1">
        <f t="shared" ca="1" si="13"/>
        <v>630700</v>
      </c>
      <c r="O50" s="1">
        <f ca="1">IF($C50&gt;=62.083,IF(O49=0,IF(DAY(MAX($G$1,$G$3))=1,12,11)*0.325*HLOOKUP(VLOOKUP($G$8,$J$1:$K$2,2,0),$B$1:$C$4,2,0),O49+12*0.325*HLOOKUP(VLOOKUP($G$8,$J$1:$K$2,2,0),$B$1:$C$4,2,0)),0)</f>
        <v>253207.5</v>
      </c>
      <c r="P50" s="1">
        <f t="shared" ca="1" si="7"/>
        <v>322350</v>
      </c>
      <c r="Q50" s="1"/>
      <c r="R50" s="1"/>
    </row>
    <row r="51" spans="1:18">
      <c r="A51" s="5">
        <f t="shared" ca="1" si="4"/>
        <v>58473.75</v>
      </c>
      <c r="B51">
        <f t="shared" si="5"/>
        <v>103</v>
      </c>
      <c r="C51">
        <f t="shared" ca="1" si="5"/>
        <v>93.086242299794662</v>
      </c>
      <c r="D51">
        <f ca="1">IF(AND(R51&gt;Q51,R51&gt;O51),62,IF(Q51&gt;O51,"FRA",70))</f>
        <v>70</v>
      </c>
      <c r="G51" s="1">
        <f t="shared" si="11"/>
        <v>987500</v>
      </c>
      <c r="H51" s="1">
        <f t="shared" si="9"/>
        <v>921900</v>
      </c>
      <c r="I51" s="1">
        <f t="shared" si="6"/>
        <v>589200</v>
      </c>
      <c r="J51" s="1">
        <f t="shared" si="8"/>
        <v>414895</v>
      </c>
      <c r="K51" s="1">
        <f t="shared" si="10"/>
        <v>591500</v>
      </c>
      <c r="L51" s="1">
        <f t="shared" ca="1" si="12"/>
        <v>861000</v>
      </c>
      <c r="M51" s="1">
        <f t="shared" ca="1" si="14"/>
        <v>829400</v>
      </c>
      <c r="N51" s="1">
        <f t="shared" ca="1" si="13"/>
        <v>651100</v>
      </c>
      <c r="O51" s="1">
        <f ca="1">IF($C51&gt;=62.083,IF(O50=0,IF(DAY(MAX($G$1,$G$3))=1,12,11)*0.325*HLOOKUP(VLOOKUP($G$8,$J$1:$K$2,2,0),$B$1:$C$4,2,0),O50+12*0.325*HLOOKUP(VLOOKUP($G$8,$J$1:$K$2,2,0),$B$1:$C$4,2,0)),0)</f>
        <v>261397.5</v>
      </c>
      <c r="P51" s="1">
        <f t="shared" ca="1" si="7"/>
        <v>334950</v>
      </c>
      <c r="Q51" s="1"/>
      <c r="R51" s="1"/>
    </row>
    <row r="52" spans="1:18">
      <c r="A52" s="5">
        <f t="shared" ca="1" si="4"/>
        <v>58839</v>
      </c>
      <c r="B52">
        <f t="shared" si="5"/>
        <v>104</v>
      </c>
      <c r="C52">
        <f t="shared" ca="1" si="5"/>
        <v>94.086242299794662</v>
      </c>
      <c r="D52">
        <f ca="1">IF(AND(R52&gt;Q52,R52&gt;O52),62,IF(Q52&gt;O52,"FRA",70))</f>
        <v>70</v>
      </c>
      <c r="G52" s="1">
        <f t="shared" si="11"/>
        <v>1017500</v>
      </c>
      <c r="H52" s="1">
        <f t="shared" si="9"/>
        <v>947100</v>
      </c>
      <c r="I52" s="1">
        <f t="shared" si="6"/>
        <v>603600</v>
      </c>
      <c r="J52" s="1">
        <f t="shared" si="8"/>
        <v>425035</v>
      </c>
      <c r="K52" s="1">
        <f t="shared" si="10"/>
        <v>607100</v>
      </c>
      <c r="L52" s="1">
        <f t="shared" ca="1" si="12"/>
        <v>897000</v>
      </c>
      <c r="M52" s="1">
        <f t="shared" ca="1" si="14"/>
        <v>860600</v>
      </c>
      <c r="N52" s="1">
        <f t="shared" ca="1" si="13"/>
        <v>671500</v>
      </c>
      <c r="O52" s="1">
        <f ca="1">IF($C52&gt;=62.083,IF(O51=0,IF(DAY(MAX($G$1,$G$3))=1,12,11)*0.325*HLOOKUP(VLOOKUP($G$8,$J$1:$K$2,2,0),$B$1:$C$4,2,0),O51+12*0.325*HLOOKUP(VLOOKUP($G$8,$J$1:$K$2,2,0),$B$1:$C$4,2,0)),0)</f>
        <v>269587.5</v>
      </c>
      <c r="P52" s="1">
        <f t="shared" ca="1" si="7"/>
        <v>347550</v>
      </c>
      <c r="Q52" s="1"/>
      <c r="R52" s="1"/>
    </row>
    <row r="53" spans="1:18">
      <c r="A53" s="5">
        <f t="shared" ca="1" si="4"/>
        <v>59204.25</v>
      </c>
      <c r="B53">
        <f t="shared" si="5"/>
        <v>105</v>
      </c>
      <c r="C53">
        <f t="shared" ca="1" si="5"/>
        <v>95.086242299794662</v>
      </c>
      <c r="D53">
        <f ca="1">IF(AND(R53&gt;Q53,R53&gt;O53),62,IF(Q53&gt;O53,"FRA",70))</f>
        <v>70</v>
      </c>
      <c r="G53" s="1">
        <f t="shared" si="11"/>
        <v>1047500</v>
      </c>
      <c r="H53" s="1">
        <f t="shared" si="9"/>
        <v>972300</v>
      </c>
      <c r="I53" s="1">
        <f t="shared" si="6"/>
        <v>618000</v>
      </c>
      <c r="J53" s="1">
        <f t="shared" si="8"/>
        <v>435175</v>
      </c>
      <c r="K53" s="1">
        <f t="shared" si="10"/>
        <v>622700</v>
      </c>
      <c r="L53" s="1">
        <f t="shared" ca="1" si="12"/>
        <v>933000</v>
      </c>
      <c r="M53" s="1">
        <f t="shared" ca="1" si="14"/>
        <v>891800</v>
      </c>
      <c r="N53" s="1">
        <f t="shared" ca="1" si="13"/>
        <v>691900</v>
      </c>
      <c r="O53" s="1">
        <f ca="1">IF($C53&gt;=62.083,IF(O52=0,IF(DAY(MAX($G$1,$G$3))=1,12,11)*0.325*HLOOKUP(VLOOKUP($G$8,$J$1:$K$2,2,0),$B$1:$C$4,2,0),O52+12*0.325*HLOOKUP(VLOOKUP($G$8,$J$1:$K$2,2,0),$B$1:$C$4,2,0)),0)</f>
        <v>277777.5</v>
      </c>
      <c r="P53" s="1">
        <f t="shared" ca="1" si="7"/>
        <v>360150</v>
      </c>
      <c r="Q53" s="1"/>
      <c r="R53" s="1"/>
    </row>
    <row r="54" spans="1:18">
      <c r="A54" s="5">
        <f t="shared" ca="1" si="4"/>
        <v>59569.5</v>
      </c>
      <c r="B54">
        <f t="shared" si="5"/>
        <v>106</v>
      </c>
      <c r="C54">
        <f t="shared" ca="1" si="5"/>
        <v>96.086242299794662</v>
      </c>
      <c r="D54">
        <f ca="1">IF(AND(R54&gt;Q54,R54&gt;O54),62,IF(Q54&gt;O54,"FRA",70))</f>
        <v>70</v>
      </c>
      <c r="G54" s="1">
        <f t="shared" si="11"/>
        <v>1077500</v>
      </c>
      <c r="H54" s="1">
        <f t="shared" si="9"/>
        <v>997500</v>
      </c>
      <c r="I54" s="1">
        <f t="shared" si="6"/>
        <v>632400</v>
      </c>
      <c r="J54" s="1">
        <f t="shared" si="8"/>
        <v>445315</v>
      </c>
      <c r="K54" s="1">
        <f t="shared" si="10"/>
        <v>638300</v>
      </c>
      <c r="L54" s="1">
        <f t="shared" ca="1" si="12"/>
        <v>969000</v>
      </c>
      <c r="M54" s="1">
        <f t="shared" ca="1" si="14"/>
        <v>923000</v>
      </c>
      <c r="N54" s="1">
        <f t="shared" ca="1" si="13"/>
        <v>712300</v>
      </c>
      <c r="O54" s="1">
        <f ca="1">IF($C54&gt;=62.083,IF(O53=0,IF(DAY(MAX($G$1,$G$3))=1,12,11)*0.325*HLOOKUP(VLOOKUP($G$8,$J$1:$K$2,2,0),$B$1:$C$4,2,0),O53+12*0.325*HLOOKUP(VLOOKUP($G$8,$J$1:$K$2,2,0),$B$1:$C$4,2,0)),0)</f>
        <v>285967.5</v>
      </c>
      <c r="P54" s="1">
        <f t="shared" ca="1" si="7"/>
        <v>372750</v>
      </c>
      <c r="Q54" s="1"/>
      <c r="R54" s="1"/>
    </row>
    <row r="55" spans="1:18">
      <c r="A55" s="5">
        <f t="shared" ca="1" si="4"/>
        <v>59934.75</v>
      </c>
      <c r="B55">
        <f t="shared" si="5"/>
        <v>107</v>
      </c>
      <c r="C55">
        <f t="shared" ca="1" si="5"/>
        <v>97.086242299794662</v>
      </c>
      <c r="D55">
        <f ca="1">IF(AND(R55&gt;Q55,R55&gt;O55),62,IF(Q55&gt;O55,"FRA",70))</f>
        <v>70</v>
      </c>
      <c r="G55" s="1">
        <f t="shared" si="11"/>
        <v>1107500</v>
      </c>
      <c r="H55" s="1">
        <f t="shared" si="9"/>
        <v>1022700</v>
      </c>
      <c r="I55" s="1">
        <f t="shared" si="6"/>
        <v>646800</v>
      </c>
      <c r="J55" s="1">
        <f t="shared" si="8"/>
        <v>455455</v>
      </c>
      <c r="K55" s="1">
        <f t="shared" si="10"/>
        <v>653900</v>
      </c>
      <c r="L55" s="1">
        <f t="shared" ca="1" si="12"/>
        <v>1005000</v>
      </c>
      <c r="M55" s="1">
        <f t="shared" ca="1" si="14"/>
        <v>954200</v>
      </c>
      <c r="N55" s="1">
        <f t="shared" ca="1" si="13"/>
        <v>732700</v>
      </c>
      <c r="O55" s="1">
        <f ca="1">IF($C55&gt;=62.083,IF(O54=0,IF(DAY(MAX($G$1,$G$3))=1,12,11)*0.325*HLOOKUP(VLOOKUP($G$8,$J$1:$K$2,2,0),$B$1:$C$4,2,0),O54+12*0.325*HLOOKUP(VLOOKUP($G$8,$J$1:$K$2,2,0),$B$1:$C$4,2,0)),0)</f>
        <v>294157.5</v>
      </c>
      <c r="P55" s="1">
        <f t="shared" ca="1" si="7"/>
        <v>385350</v>
      </c>
      <c r="Q55" s="1"/>
      <c r="R55" s="1"/>
    </row>
    <row r="56" spans="1:18">
      <c r="A56" s="5">
        <f t="shared" ca="1" si="4"/>
        <v>60300</v>
      </c>
      <c r="B56">
        <f t="shared" si="5"/>
        <v>108</v>
      </c>
      <c r="C56">
        <f t="shared" ca="1" si="5"/>
        <v>98.086242299794662</v>
      </c>
      <c r="D56">
        <f ca="1">IF(AND(R56&gt;Q56,R56&gt;O56),62,IF(Q56&gt;O56,"FRA",70))</f>
        <v>70</v>
      </c>
      <c r="G56" s="1">
        <f t="shared" si="11"/>
        <v>1137500</v>
      </c>
      <c r="H56" s="1">
        <f t="shared" si="9"/>
        <v>1047900</v>
      </c>
      <c r="I56" s="1">
        <f t="shared" si="6"/>
        <v>661200</v>
      </c>
      <c r="J56" s="1">
        <f t="shared" si="8"/>
        <v>465595</v>
      </c>
      <c r="K56" s="1">
        <f t="shared" si="10"/>
        <v>669500</v>
      </c>
      <c r="L56" s="1">
        <f t="shared" ca="1" si="12"/>
        <v>1041000</v>
      </c>
      <c r="M56" s="1">
        <f t="shared" ca="1" si="14"/>
        <v>985400</v>
      </c>
      <c r="N56" s="1">
        <f t="shared" ca="1" si="13"/>
        <v>753100</v>
      </c>
      <c r="O56" s="1">
        <f ca="1">IF($C56&gt;=62.083,IF(O55=0,IF(DAY(MAX($G$1,$G$3))=1,12,11)*0.325*HLOOKUP(VLOOKUP($G$8,$J$1:$K$2,2,0),$B$1:$C$4,2,0),O55+12*0.325*HLOOKUP(VLOOKUP($G$8,$J$1:$K$2,2,0),$B$1:$C$4,2,0)),0)</f>
        <v>302347.5</v>
      </c>
      <c r="P56" s="1">
        <f t="shared" ca="1" si="7"/>
        <v>397950</v>
      </c>
      <c r="Q56" s="1"/>
      <c r="R56" s="1"/>
    </row>
    <row r="57" spans="1:18">
      <c r="A57" s="5">
        <f t="shared" ca="1" si="4"/>
        <v>60665.25</v>
      </c>
      <c r="B57">
        <f t="shared" si="5"/>
        <v>109</v>
      </c>
      <c r="C57">
        <f t="shared" ca="1" si="5"/>
        <v>99.086242299794662</v>
      </c>
      <c r="D57">
        <f ca="1">IF(AND(R57&gt;Q57,R57&gt;O57),62,IF(Q57&gt;O57,"FRA",70))</f>
        <v>70</v>
      </c>
      <c r="G57" s="1">
        <f t="shared" si="11"/>
        <v>1167500</v>
      </c>
      <c r="H57" s="1">
        <f t="shared" si="9"/>
        <v>1073100</v>
      </c>
      <c r="I57" s="1">
        <f t="shared" si="6"/>
        <v>675600</v>
      </c>
      <c r="J57" s="1">
        <f t="shared" si="8"/>
        <v>475735</v>
      </c>
      <c r="K57" s="1">
        <f t="shared" si="10"/>
        <v>685100</v>
      </c>
      <c r="L57" s="1">
        <f t="shared" ca="1" si="12"/>
        <v>1077000</v>
      </c>
      <c r="M57" s="1">
        <f t="shared" ca="1" si="14"/>
        <v>1016600</v>
      </c>
      <c r="N57" s="1">
        <f t="shared" ca="1" si="13"/>
        <v>773500</v>
      </c>
      <c r="O57" s="1">
        <f ca="1">IF($C57&gt;=62.083,IF(O56=0,IF(DAY(MAX($G$1,$G$3))=1,12,11)*0.325*HLOOKUP(VLOOKUP($G$8,$J$1:$K$2,2,0),$B$1:$C$4,2,0),O56+12*0.325*HLOOKUP(VLOOKUP($G$8,$J$1:$K$2,2,0),$B$1:$C$4,2,0)),0)</f>
        <v>310537.5</v>
      </c>
      <c r="P57" s="1">
        <f t="shared" ca="1" si="7"/>
        <v>410550</v>
      </c>
      <c r="Q57" s="1"/>
      <c r="R57" s="1"/>
    </row>
    <row r="58" spans="1:18">
      <c r="A58" s="5">
        <f t="shared" ca="1" si="4"/>
        <v>61030.5</v>
      </c>
      <c r="B58">
        <f>B57+1</f>
        <v>110</v>
      </c>
      <c r="C58">
        <f t="shared" ref="C58" ca="1" si="15">C57+1</f>
        <v>100.08624229979466</v>
      </c>
      <c r="D58">
        <f ca="1">IF(AND(R58&gt;Q58,R58&gt;O58),62,IF(Q58&gt;O58,"FRA",70))</f>
        <v>70</v>
      </c>
      <c r="G58" s="1">
        <f t="shared" si="11"/>
        <v>1197500</v>
      </c>
      <c r="H58" s="1">
        <f t="shared" si="9"/>
        <v>1098300</v>
      </c>
      <c r="I58" s="1">
        <f t="shared" si="6"/>
        <v>690000</v>
      </c>
      <c r="J58" s="1">
        <f t="shared" si="8"/>
        <v>485875</v>
      </c>
      <c r="K58" s="1">
        <f t="shared" si="10"/>
        <v>700700</v>
      </c>
      <c r="L58" s="1">
        <f t="shared" ca="1" si="12"/>
        <v>1113000</v>
      </c>
      <c r="M58" s="1">
        <f t="shared" ca="1" si="14"/>
        <v>1047800</v>
      </c>
      <c r="N58" s="1">
        <f t="shared" ca="1" si="13"/>
        <v>793900</v>
      </c>
      <c r="O58" s="1">
        <f ca="1">IF($C58&gt;=62.083,IF(O57=0,IF(DAY(MAX($G$1,$G$3))=1,12,11)*0.325*HLOOKUP(VLOOKUP($G$8,$J$1:$K$2,2,0),$B$1:$C$4,2,0),O57+12*0.325*HLOOKUP(VLOOKUP($G$8,$J$1:$K$2,2,0),$B$1:$C$4,2,0)),0)</f>
        <v>318727.5</v>
      </c>
      <c r="P58" s="1">
        <f t="shared" ca="1" si="7"/>
        <v>423150</v>
      </c>
      <c r="Q58" s="1"/>
      <c r="R58" s="1"/>
    </row>
  </sheetData>
  <mergeCells count="4">
    <mergeCell ref="E1:F1"/>
    <mergeCell ref="E2:F2"/>
    <mergeCell ref="E3:F3"/>
    <mergeCell ref="E4:F4"/>
  </mergeCells>
  <conditionalFormatting sqref="C8">
    <cfRule type="expression" dxfId="2" priority="1">
      <formula>$D8=70</formula>
    </cfRule>
    <cfRule type="expression" dxfId="1" priority="2">
      <formula>$D8="FRA"</formula>
    </cfRule>
    <cfRule type="expression" dxfId="0" priority="3">
      <formula>$D8=62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B19" sqref="B19"/>
    </sheetView>
  </sheetViews>
  <sheetFormatPr defaultRowHeight="15"/>
  <cols>
    <col min="1" max="1" width="14.5703125" bestFit="1" customWidth="1"/>
    <col min="2" max="2" width="31" bestFit="1" customWidth="1"/>
    <col min="3" max="3" width="7.42578125" bestFit="1" customWidth="1"/>
  </cols>
  <sheetData>
    <row r="1" spans="1:5">
      <c r="A1" t="s">
        <v>23</v>
      </c>
      <c r="B1" t="s">
        <v>24</v>
      </c>
      <c r="C1" t="s">
        <v>16</v>
      </c>
      <c r="E1" t="s">
        <v>25</v>
      </c>
    </row>
    <row r="2" spans="1:5">
      <c r="A2">
        <v>62</v>
      </c>
      <c r="B2" s="7">
        <v>0.7</v>
      </c>
      <c r="C2" s="7">
        <v>0.32500000000000001</v>
      </c>
    </row>
    <row r="3" spans="1:5">
      <c r="A3">
        <v>63</v>
      </c>
      <c r="B3">
        <v>75</v>
      </c>
      <c r="C3">
        <v>35</v>
      </c>
    </row>
    <row r="4" spans="1:5">
      <c r="A4">
        <v>64</v>
      </c>
      <c r="B4">
        <v>80</v>
      </c>
      <c r="C4">
        <v>37.5</v>
      </c>
    </row>
    <row r="5" spans="1:5">
      <c r="A5">
        <v>65</v>
      </c>
      <c r="B5">
        <v>86.7</v>
      </c>
      <c r="C5">
        <v>41.7</v>
      </c>
    </row>
    <row r="6" spans="1:5">
      <c r="A6">
        <v>66</v>
      </c>
      <c r="B6">
        <v>93.3</v>
      </c>
      <c r="C6">
        <v>45.8</v>
      </c>
    </row>
    <row r="7" spans="1:5">
      <c r="A7">
        <v>67</v>
      </c>
      <c r="B7">
        <v>100</v>
      </c>
      <c r="C7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</vt:lpstr>
      <vt:lpstr>Double</vt:lpstr>
      <vt:lpstr>Reduction</vt:lpstr>
    </vt:vector>
  </TitlesOfParts>
  <Company>University at Buffalo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renski</cp:lastModifiedBy>
  <dcterms:created xsi:type="dcterms:W3CDTF">2012-12-23T19:08:29Z</dcterms:created>
  <dcterms:modified xsi:type="dcterms:W3CDTF">2013-01-24T23:10:16Z</dcterms:modified>
</cp:coreProperties>
</file>