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sc\6165\05_nonlinear_optimization\"/>
    </mc:Choice>
  </mc:AlternateContent>
  <bookViews>
    <workbookView xWindow="0" yWindow="0" windowWidth="20496" windowHeight="8208" tabRatio="917"/>
  </bookViews>
  <sheets>
    <sheet name="Q1_demand" sheetId="51" r:id="rId1"/>
    <sheet name="Q2_model" sheetId="46" r:id="rId2"/>
    <sheet name="hot_tubs_STS" sheetId="43" state="veryHidden" r:id="rId3"/>
    <sheet name="product_mix_STS" sheetId="31" state="veryHidden" r:id="rId4"/>
    <sheet name="Q3_solution" sheetId="52" r:id="rId5"/>
    <sheet name="Q4_comparison" sheetId="47" r:id="rId6"/>
    <sheet name="Q2_solution_STS" sheetId="48" state="veryHidden" r:id="rId7"/>
    <sheet name="Q5_sensitivity_analysis" sheetId="60" r:id="rId8"/>
    <sheet name="Q2_solution (2)_STS" sheetId="55" state="veryHidden" r:id="rId9"/>
    <sheet name="Q3_solution_STS" sheetId="58" state="veryHidden" r:id="rId10"/>
  </sheets>
  <definedNames>
    <definedName name="ChartData" localSheetId="7">Q5_sensitivity_analysis!$P$5:$P$34</definedName>
    <definedName name="InputValues" localSheetId="7">Q5_sensitivity_analysis!$A$5:$A$34</definedName>
    <definedName name="invest_decisions" localSheetId="4">#REF!</definedName>
    <definedName name="invest_decisions">#REF!</definedName>
    <definedName name="OutputAddresses" localSheetId="7">Q5_sensitivity_analysis!$B$4:$F$4</definedName>
    <definedName name="OutputValues" localSheetId="7">Q5_sensitivity_analysis!$B$5:$F$34</definedName>
    <definedName name="solver_adj" localSheetId="0" hidden="1">Q1_demand!#REF!</definedName>
    <definedName name="solver_adj" localSheetId="4" hidden="1">Q3_solution!$C$10:$C$11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bd" localSheetId="0" hidden="1">2</definedName>
    <definedName name="solver_itr" localSheetId="0" hidden="1">100</definedName>
    <definedName name="solver_itr" localSheetId="4" hidden="1">2147483647</definedName>
    <definedName name="solver_lhs1" localSheetId="0" hidden="1">Q1_demand!#REF!</definedName>
    <definedName name="solver_lhs1" localSheetId="4" hidden="1">Q3_solution!$B$17:$B$21</definedName>
    <definedName name="solver_lhs2" localSheetId="4" hidden="1">Q3_solution!$B$19:$B$21</definedName>
    <definedName name="solver_lhs3" localSheetId="4" hidden="1">Q3_solution!$B$17</definedName>
    <definedName name="solver_lhs4" localSheetId="4" hidden="1">Q3_solution!#REF!</definedName>
    <definedName name="solver_lin" localSheetId="0" hidden="1">2</definedName>
    <definedName name="solver_lin" localSheetId="4" hidden="1">1</definedName>
    <definedName name="solver_lva" localSheetId="0" hidden="1">2</definedName>
    <definedName name="solver_mip" localSheetId="0" hidden="1">5000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1</definedName>
    <definedName name="solver_msl" localSheetId="4" hidden="1">1</definedName>
    <definedName name="solver_neg" localSheetId="0" hidden="1">2</definedName>
    <definedName name="solver_neg" localSheetId="4" hidden="1">1</definedName>
    <definedName name="solver_nod" localSheetId="0" hidden="1">5000</definedName>
    <definedName name="solver_nod" localSheetId="4" hidden="1">2147483647</definedName>
    <definedName name="solver_num" localSheetId="0" hidden="1">1</definedName>
    <definedName name="solver_num" localSheetId="4" hidden="1">1</definedName>
    <definedName name="solver_nwt" localSheetId="0" hidden="1">1</definedName>
    <definedName name="solver_nwt" localSheetId="4" hidden="1">1</definedName>
    <definedName name="solver_ofx" localSheetId="0" hidden="1">2</definedName>
    <definedName name="solver_opt" localSheetId="0" hidden="1">Q1_demand!#REF!</definedName>
    <definedName name="solver_opt" localSheetId="4" hidden="1">Q3_solution!$C$14</definedName>
    <definedName name="solver_piv" localSheetId="0" hidden="1">0.000001</definedName>
    <definedName name="solver_pre" localSheetId="0" hidden="1">0.000001</definedName>
    <definedName name="solver_pre" localSheetId="4" hidden="1">0.000001</definedName>
    <definedName name="solver_pro" localSheetId="0" hidden="1">2</definedName>
    <definedName name="solver_rbv" localSheetId="0" hidden="1">2</definedName>
    <definedName name="solver_rbv" localSheetId="4" hidden="1">2</definedName>
    <definedName name="solver_red" localSheetId="0" hidden="1">0.000001</definedName>
    <definedName name="solver_rel1" localSheetId="0" hidden="1">3</definedName>
    <definedName name="solver_rel1" localSheetId="4" hidden="1">1</definedName>
    <definedName name="solver_rel2" localSheetId="4" hidden="1">1</definedName>
    <definedName name="solver_rel3" localSheetId="4" hidden="1">1</definedName>
    <definedName name="solver_rel4" localSheetId="4" hidden="1">3</definedName>
    <definedName name="solver_reo" localSheetId="0" hidden="1">2</definedName>
    <definedName name="solver_rep" localSheetId="0" hidden="1">2</definedName>
    <definedName name="solver_rhs1" localSheetId="0" hidden="1">Q1_demand!#REF!</definedName>
    <definedName name="solver_rhs1" localSheetId="4" hidden="1">Q3_solution!$D$17:$D$21</definedName>
    <definedName name="solver_rhs2" localSheetId="4" hidden="1">Q3_solution!$D$19:$D$21</definedName>
    <definedName name="solver_rhs3" localSheetId="4" hidden="1">Q3_solution!$D$17</definedName>
    <definedName name="solver_rhs4" localSheetId="4" hidden="1">Q3_solution!#REF!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2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std" localSheetId="0" hidden="1">1</definedName>
    <definedName name="solver_tim" localSheetId="0" hidden="1">100</definedName>
    <definedName name="solver_tim" localSheetId="4" hidden="1">2147483647</definedName>
    <definedName name="solver_tol" localSheetId="0" hidden="1">0.0005</definedName>
    <definedName name="solver_tol" localSheetId="4" hidden="1">0.01</definedName>
    <definedName name="solver_typ" localSheetId="0" hidden="1">1</definedName>
    <definedName name="solver_typ" localSheetId="4" hidden="1">1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</definedNames>
  <calcPr calcId="162913"/>
</workbook>
</file>

<file path=xl/calcChain.xml><?xml version="1.0" encoding="utf-8"?>
<calcChain xmlns="http://schemas.openxmlformats.org/spreadsheetml/2006/main">
  <c r="O4" i="60" l="1"/>
  <c r="P31" i="60" s="1"/>
  <c r="P1" i="60"/>
  <c r="C4" i="52"/>
  <c r="C5" i="52"/>
  <c r="P27" i="60" l="1"/>
  <c r="P26" i="60"/>
  <c r="P25" i="60"/>
  <c r="P24" i="60"/>
  <c r="P12" i="60"/>
  <c r="P20" i="60"/>
  <c r="P28" i="60"/>
  <c r="P32" i="60"/>
  <c r="P5" i="60"/>
  <c r="P9" i="60"/>
  <c r="P13" i="60"/>
  <c r="P17" i="60"/>
  <c r="P21" i="60"/>
  <c r="P29" i="60"/>
  <c r="P33" i="60"/>
  <c r="P7" i="60"/>
  <c r="P11" i="60"/>
  <c r="P15" i="60"/>
  <c r="P19" i="60"/>
  <c r="P23" i="60"/>
  <c r="P8" i="60"/>
  <c r="P16" i="60"/>
  <c r="P6" i="60"/>
  <c r="P10" i="60"/>
  <c r="P14" i="60"/>
  <c r="P18" i="60"/>
  <c r="P22" i="60"/>
  <c r="P30" i="60"/>
  <c r="P34" i="60"/>
  <c r="D8" i="47" l="1"/>
  <c r="D6" i="47"/>
  <c r="C14" i="52"/>
  <c r="D18" i="52" l="1"/>
  <c r="D17" i="52"/>
  <c r="D21" i="52" l="1"/>
  <c r="D20" i="52"/>
  <c r="D19" i="52"/>
  <c r="B18" i="52" l="1"/>
  <c r="B17" i="52"/>
  <c r="B19" i="52" l="1"/>
  <c r="B20" i="52"/>
  <c r="B21" i="52"/>
  <c r="C7" i="47" l="1"/>
  <c r="B7" i="47"/>
  <c r="D7" i="47" l="1"/>
  <c r="D9" i="47" s="1"/>
</calcChain>
</file>

<file path=xl/comments1.xml><?xml version="1.0" encoding="utf-8"?>
<comments xmlns="http://schemas.openxmlformats.org/spreadsheetml/2006/main">
  <authors>
    <author>Zinovy Radovilsky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8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9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0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1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3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5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6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7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8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0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1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3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4" authorId="0" shapeId="0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sharedStrings.xml><?xml version="1.0" encoding="utf-8"?>
<sst xmlns="http://schemas.openxmlformats.org/spreadsheetml/2006/main" count="150" uniqueCount="119">
  <si>
    <t>Decisions</t>
  </si>
  <si>
    <t>RHS</t>
  </si>
  <si>
    <t>Constraints</t>
  </si>
  <si>
    <t>LHS</t>
  </si>
  <si>
    <t>&lt;=</t>
  </si>
  <si>
    <t>Data for chart</t>
  </si>
  <si>
    <t>Storage Space</t>
  </si>
  <si>
    <t>Number of Aqua-Spa units produced</t>
  </si>
  <si>
    <t>Number of Hydro-Luxe units produced</t>
  </si>
  <si>
    <t>Pa =</t>
  </si>
  <si>
    <t>Ph=</t>
  </si>
  <si>
    <t>Demand</t>
  </si>
  <si>
    <t>Max Price, $</t>
  </si>
  <si>
    <t>Tubing resource, feet</t>
  </si>
  <si>
    <t>Pump resource, units</t>
  </si>
  <si>
    <t>$D$18</t>
  </si>
  <si>
    <t>$C$9,$C$5</t>
  </si>
  <si>
    <t>Maximum price for Aqua-Spa, $</t>
  </si>
  <si>
    <t>Maximum price for Hydro-Luxe, $</t>
  </si>
  <si>
    <t>$D$15</t>
  </si>
  <si>
    <t>$C$8:$C$9,$C$12</t>
  </si>
  <si>
    <t>Input</t>
  </si>
  <si>
    <t>Non-negativity</t>
  </si>
  <si>
    <t>Aqua-Spa</t>
  </si>
  <si>
    <t>Hydro-Luxe</t>
  </si>
  <si>
    <t>Decision Variables</t>
  </si>
  <si>
    <t>Pa, Ph &gt;= 0</t>
  </si>
  <si>
    <t>Pa - price per Aqua-Spa hot tub</t>
  </si>
  <si>
    <t>Ph - price per Hydro-Luxe hot tub</t>
  </si>
  <si>
    <t>Price per Aqua-Spa hot tub, $</t>
  </si>
  <si>
    <t>Price of Hydro-Luxe hot tub, $</t>
  </si>
  <si>
    <t xml:space="preserve">Objective function </t>
  </si>
  <si>
    <t>Maximize total monthly profit</t>
  </si>
  <si>
    <t>Total available resource</t>
  </si>
  <si>
    <t>Tubing, feet</t>
  </si>
  <si>
    <t>Pump, unit</t>
  </si>
  <si>
    <t>Cost per unit, $</t>
  </si>
  <si>
    <t>Pump per unit</t>
  </si>
  <si>
    <t>Tubing per unit, feet</t>
  </si>
  <si>
    <t>Objective Function: maximize total monthly profit, $</t>
  </si>
  <si>
    <t>Possible Integer Solutions for Demand/Production</t>
  </si>
  <si>
    <t>Solution</t>
  </si>
  <si>
    <t>Production of Aqua-Spa, units</t>
  </si>
  <si>
    <t>Production of Hydro-Luxe, units</t>
  </si>
  <si>
    <t>Constraints satisfied?</t>
  </si>
  <si>
    <t>Yes</t>
  </si>
  <si>
    <t>Current price per unit, $</t>
  </si>
  <si>
    <t>Current monthly production (demand), units</t>
  </si>
  <si>
    <t>Current monthly profit, $</t>
  </si>
  <si>
    <t>Projected profit change, $</t>
  </si>
  <si>
    <t>Total</t>
  </si>
  <si>
    <t>Labor resource, hrs.</t>
  </si>
  <si>
    <t>Labor, hrs.</t>
  </si>
  <si>
    <t>Labor per Unit, hrs.</t>
  </si>
  <si>
    <t>Total monthly Profit, $</t>
  </si>
  <si>
    <t>$C$10,$C$11,$C$14</t>
  </si>
  <si>
    <t>$C$10</t>
  </si>
  <si>
    <t>$C$11</t>
  </si>
  <si>
    <t>$C$14</t>
  </si>
  <si>
    <t>Maximum price for Hydro-Luxe</t>
  </si>
  <si>
    <t>Notice that the demand/production units for hot tubs are not decision variables, because they are</t>
  </si>
  <si>
    <t xml:space="preserve">dependent on price. In an LP or non-linear optimization model, the decision variables should be </t>
  </si>
  <si>
    <t xml:space="preserve">independent, and not related to each other. </t>
  </si>
  <si>
    <t xml:space="preserve">    maximum monthly profit and also satisfies the model constraints. See the table on the right that shows 4 possible rounding </t>
  </si>
  <si>
    <t xml:space="preserve">    solutions sets with their respective monthly profits and constraints' satisfaction. For each solution set, the values in </t>
  </si>
  <si>
    <t xml:space="preserve">Assuming that the optimal production units should be integer, it is important to round these values in a way that insures the </t>
  </si>
  <si>
    <t xml:space="preserve">    cells C4 and C5 were changed to their respective integer values, and then we observe the associated profit and evaluate if </t>
  </si>
  <si>
    <t xml:space="preserve">As calculated in the table above, the current monthly profit using the current </t>
  </si>
  <si>
    <t>Demand/Prodution</t>
  </si>
  <si>
    <t>Da + Dh &lt;= 200</t>
  </si>
  <si>
    <t>Aqua-Spa units , Da</t>
  </si>
  <si>
    <t>Hydro-Luxe units, Dh</t>
  </si>
  <si>
    <t>Period</t>
  </si>
  <si>
    <t>Price</t>
  </si>
  <si>
    <t>$D$10</t>
  </si>
  <si>
    <t/>
  </si>
  <si>
    <t>$D$11</t>
  </si>
  <si>
    <t>$C$10:$C$11,$C$14</t>
  </si>
  <si>
    <t>Input1</t>
  </si>
  <si>
    <t>Input2</t>
  </si>
  <si>
    <t>$E$8</t>
  </si>
  <si>
    <t>No, pump resource is not satisfied</t>
  </si>
  <si>
    <t>$C$10:$C$11,$C$4:$C$5,$C$14</t>
  </si>
  <si>
    <t>$C$4</t>
  </si>
  <si>
    <t>$C$5</t>
  </si>
  <si>
    <t xml:space="preserve">According to the simple regression analysis (Trendline), the linear </t>
  </si>
  <si>
    <t>Demand = 294.66 - 0.1621*Price</t>
  </si>
  <si>
    <t xml:space="preserve">regression function for demand (production) of Aqua-Spa hot tubs is: </t>
  </si>
  <si>
    <t xml:space="preserve">regression function for demand (production) of Hydro-Luxe hot tubs is: </t>
  </si>
  <si>
    <t>Demand = 334.32 - 0.1586*Price</t>
  </si>
  <si>
    <t>Q2. Model formulation</t>
  </si>
  <si>
    <t>Pa &lt;= 1400</t>
  </si>
  <si>
    <t>Ph &lt;= 1400</t>
  </si>
  <si>
    <t>Da = 294.66 - 0.1621*Pa</t>
  </si>
  <si>
    <t>Dh = 334.32 - 0.1586*Ph</t>
  </si>
  <si>
    <t>10Da + 16Dh &lt;= 2700</t>
  </si>
  <si>
    <t xml:space="preserve">The optimal solution in this case is to assign a unit price for Aqua-Spa to be equal to $1,276.62, and a unit price for Hydro-Luxe </t>
  </si>
  <si>
    <t xml:space="preserve">    to be equal to $1,400.00, which provide the maximum monthly profit of $149,949.05. The optimal number of units produced</t>
  </si>
  <si>
    <t xml:space="preserve">    (demanded) is 87.7 for Aqua-Spa and 112.3 for Hydro-Luxe.</t>
  </si>
  <si>
    <r>
      <t xml:space="preserve">    constraints are being satisfied. As can be seen from the table, the best solution set is to produce of </t>
    </r>
    <r>
      <rPr>
        <b/>
        <sz val="10"/>
        <color rgb="FFFF0000"/>
        <rFont val="Arial"/>
        <family val="2"/>
      </rPr>
      <t>87 units</t>
    </r>
    <r>
      <rPr>
        <b/>
        <sz val="10"/>
        <rFont val="Arial"/>
        <family val="2"/>
      </rPr>
      <t xml:space="preserve"> of Aqua-Spa </t>
    </r>
  </si>
  <si>
    <r>
      <t xml:space="preserve">    and </t>
    </r>
    <r>
      <rPr>
        <b/>
        <sz val="10"/>
        <color rgb="FFFF0000"/>
        <rFont val="Arial"/>
        <family val="2"/>
      </rPr>
      <t>113 units</t>
    </r>
    <r>
      <rPr>
        <b/>
        <sz val="10"/>
        <rFont val="Arial"/>
        <family val="2"/>
      </rPr>
      <t xml:space="preserve"> of Hydro-Luxe, which provides the maximum profit of $149,965.89. </t>
    </r>
  </si>
  <si>
    <t>production of 65 Aqua-Spa and 98 Hydro-Luxe units and their respective prices of</t>
  </si>
  <si>
    <t xml:space="preserve">$1,399 and $1,489, is $139,037.00. By achieving the maximum profit of $149,965.89 from  </t>
  </si>
  <si>
    <t>Optimal monthly profit, $ (from Q3)</t>
  </si>
  <si>
    <t>the optimal solution in question 3, the project profit increase will be $10,928.89.</t>
  </si>
  <si>
    <t xml:space="preserve">Q4. Comparison of current and optimal production of hot tubs </t>
  </si>
  <si>
    <t>Q3. Optimal solution</t>
  </si>
  <si>
    <t>Availalbe number of pumps</t>
  </si>
  <si>
    <t>Availalbe number of pumps (cell $E$8) values along side, output cell(s) along top</t>
  </si>
  <si>
    <t>Q5. One-way analysis for Solver model in Q3</t>
  </si>
  <si>
    <t>As can be seen from the sensitivity table and associated charts, between the</t>
  </si>
  <si>
    <t>number of pumps between 10 and 170, the price for both tubs is 0 (or infeasible),</t>
  </si>
  <si>
    <t>and thus there is no optimal solution for this model. At the same time, when the</t>
  </si>
  <si>
    <t xml:space="preserve">number of pumps is 210 units or more, the optimal solution for the prices, </t>
  </si>
  <si>
    <t xml:space="preserve">number of produced units, and maximum profit remains the same. </t>
  </si>
  <si>
    <t>Max (Pa - 540)*Da + (Ph - 640)*Dh</t>
  </si>
  <si>
    <t>4*Da + 6*Dh &lt;= 1600</t>
  </si>
  <si>
    <t>Q1. Price and Demand for Aqua-Spa</t>
  </si>
  <si>
    <t>Q1. Price and Demand for Hydro-Luxe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</si>
</sst>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"/>
    <numFmt numFmtId="166" formatCode="&quot;$&quot;#,##0.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43" fontId="14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4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Border="1"/>
    <xf numFmtId="2" fontId="7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/>
    <xf numFmtId="0" fontId="11" fillId="0" borderId="1" xfId="0" applyFont="1" applyBorder="1"/>
    <xf numFmtId="1" fontId="2" fillId="5" borderId="1" xfId="0" applyNumberFormat="1" applyFont="1" applyFill="1" applyBorder="1" applyAlignment="1">
      <alignment horizontal="center"/>
    </xf>
    <xf numFmtId="49" fontId="0" fillId="0" borderId="0" xfId="0" applyNumberFormat="1"/>
    <xf numFmtId="0" fontId="12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/>
    <xf numFmtId="0" fontId="1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3" fontId="7" fillId="4" borderId="1" xfId="2" applyNumberFormat="1" applyFont="1" applyFill="1" applyBorder="1" applyAlignment="1">
      <alignment horizontal="center"/>
    </xf>
    <xf numFmtId="0" fontId="1" fillId="0" borderId="0" xfId="3"/>
    <xf numFmtId="0" fontId="1" fillId="0" borderId="0" xfId="3" applyBorder="1"/>
    <xf numFmtId="0" fontId="15" fillId="0" borderId="0" xfId="3" applyFont="1" applyBorder="1"/>
    <xf numFmtId="0" fontId="9" fillId="0" borderId="1" xfId="3" applyFont="1" applyBorder="1"/>
    <xf numFmtId="0" fontId="10" fillId="0" borderId="1" xfId="3" applyFont="1" applyBorder="1"/>
    <xf numFmtId="0" fontId="17" fillId="0" borderId="0" xfId="0" applyFont="1" applyBorder="1"/>
    <xf numFmtId="164" fontId="7" fillId="4" borderId="1" xfId="0" applyNumberFormat="1" applyFont="1" applyFill="1" applyBorder="1" applyAlignment="1">
      <alignment horizontal="center"/>
    </xf>
    <xf numFmtId="0" fontId="11" fillId="0" borderId="0" xfId="0" applyFont="1"/>
    <xf numFmtId="0" fontId="10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8" fillId="0" borderId="0" xfId="3" applyFont="1"/>
    <xf numFmtId="0" fontId="10" fillId="0" borderId="1" xfId="3" applyFont="1" applyBorder="1" applyAlignment="1">
      <alignment horizontal="center"/>
    </xf>
    <xf numFmtId="0" fontId="10" fillId="0" borderId="0" xfId="3" applyFont="1"/>
    <xf numFmtId="0" fontId="10" fillId="0" borderId="1" xfId="3" applyFont="1" applyBorder="1" applyAlignment="1">
      <alignment wrapText="1"/>
    </xf>
    <xf numFmtId="2" fontId="9" fillId="0" borderId="1" xfId="3" applyNumberFormat="1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/>
    </xf>
    <xf numFmtId="4" fontId="10" fillId="0" borderId="1" xfId="3" applyNumberFormat="1" applyFont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4" fontId="7" fillId="3" borderId="1" xfId="3" applyNumberFormat="1" applyFont="1" applyFill="1" applyBorder="1" applyAlignment="1">
      <alignment horizontal="center"/>
    </xf>
    <xf numFmtId="3" fontId="10" fillId="0" borderId="1" xfId="3" applyNumberFormat="1" applyFont="1" applyBorder="1" applyAlignment="1">
      <alignment horizontal="center"/>
    </xf>
    <xf numFmtId="0" fontId="17" fillId="0" borderId="0" xfId="0" applyFont="1"/>
    <xf numFmtId="0" fontId="17" fillId="0" borderId="0" xfId="3" applyFont="1"/>
    <xf numFmtId="0" fontId="15" fillId="0" borderId="2" xfId="3" applyFont="1" applyBorder="1"/>
    <xf numFmtId="0" fontId="15" fillId="0" borderId="3" xfId="3" applyFont="1" applyBorder="1"/>
    <xf numFmtId="0" fontId="15" fillId="0" borderId="4" xfId="3" applyFont="1" applyBorder="1"/>
    <xf numFmtId="0" fontId="15" fillId="0" borderId="5" xfId="3" applyFont="1" applyBorder="1"/>
    <xf numFmtId="0" fontId="15" fillId="0" borderId="6" xfId="3" applyFont="1" applyBorder="1"/>
    <xf numFmtId="0" fontId="15" fillId="0" borderId="7" xfId="3" applyFont="1" applyBorder="1"/>
    <xf numFmtId="2" fontId="7" fillId="3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0" fillId="0" borderId="8" xfId="0" applyBorder="1"/>
    <xf numFmtId="0" fontId="0" fillId="0" borderId="3" xfId="0" applyBorder="1"/>
    <xf numFmtId="0" fontId="2" fillId="0" borderId="4" xfId="0" applyFont="1" applyFill="1" applyBorder="1" applyAlignment="1">
      <alignment horizontal="left"/>
    </xf>
    <xf numFmtId="0" fontId="0" fillId="0" borderId="5" xfId="0" applyBorder="1"/>
    <xf numFmtId="0" fontId="2" fillId="0" borderId="6" xfId="0" applyFont="1" applyFill="1" applyBorder="1" applyAlignment="1">
      <alignment horizontal="left"/>
    </xf>
    <xf numFmtId="0" fontId="0" fillId="0" borderId="9" xfId="0" applyBorder="1"/>
    <xf numFmtId="0" fontId="0" fillId="0" borderId="7" xfId="0" applyBorder="1"/>
    <xf numFmtId="0" fontId="10" fillId="0" borderId="2" xfId="3" applyFont="1" applyBorder="1"/>
    <xf numFmtId="0" fontId="10" fillId="0" borderId="8" xfId="3" applyFont="1" applyBorder="1"/>
    <xf numFmtId="0" fontId="10" fillId="0" borderId="3" xfId="3" applyFont="1" applyBorder="1"/>
    <xf numFmtId="0" fontId="10" fillId="0" borderId="4" xfId="3" applyFont="1" applyBorder="1"/>
    <xf numFmtId="0" fontId="10" fillId="0" borderId="0" xfId="3" applyFont="1" applyBorder="1"/>
    <xf numFmtId="0" fontId="10" fillId="0" borderId="5" xfId="3" applyFont="1" applyBorder="1"/>
    <xf numFmtId="0" fontId="15" fillId="0" borderId="9" xfId="3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19" fillId="0" borderId="0" xfId="1" applyFont="1"/>
    <xf numFmtId="0" fontId="20" fillId="0" borderId="0" xfId="1" applyFont="1"/>
    <xf numFmtId="0" fontId="21" fillId="0" borderId="1" xfId="1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9" fillId="0" borderId="1" xfId="1" applyNumberFormat="1" applyFont="1" applyBorder="1" applyAlignment="1">
      <alignment horizontal="center"/>
    </xf>
    <xf numFmtId="0" fontId="21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textRotation="90"/>
    </xf>
    <xf numFmtId="0" fontId="0" fillId="6" borderId="0" xfId="0" applyFill="1" applyAlignment="1">
      <alignment horizontal="right" textRotation="90"/>
    </xf>
    <xf numFmtId="2" fontId="0" fillId="0" borderId="13" xfId="0" applyNumberFormat="1" applyBorder="1"/>
    <xf numFmtId="2" fontId="0" fillId="0" borderId="0" xfId="0" applyNumberFormat="1" applyBorder="1"/>
    <xf numFmtId="43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43" fontId="0" fillId="0" borderId="17" xfId="0" applyNumberFormat="1" applyBorder="1"/>
    <xf numFmtId="43" fontId="0" fillId="0" borderId="0" xfId="0" applyNumberFormat="1" applyBorder="1"/>
    <xf numFmtId="2" fontId="0" fillId="0" borderId="11" xfId="0" applyNumberFormat="1" applyBorder="1"/>
    <xf numFmtId="43" fontId="0" fillId="0" borderId="12" xfId="0" applyNumberFormat="1" applyBorder="1"/>
    <xf numFmtId="2" fontId="0" fillId="0" borderId="10" xfId="0" applyNumberFormat="1" applyBorder="1"/>
    <xf numFmtId="166" fontId="19" fillId="0" borderId="0" xfId="1" applyNumberFormat="1" applyFont="1" applyBorder="1" applyAlignment="1">
      <alignment horizontal="center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0" fontId="16" fillId="0" borderId="0" xfId="1" applyFont="1"/>
    <xf numFmtId="0" fontId="19" fillId="0" borderId="18" xfId="1" applyFont="1" applyBorder="1" applyAlignment="1">
      <alignment horizontal="center"/>
    </xf>
    <xf numFmtId="166" fontId="19" fillId="0" borderId="2" xfId="1" applyNumberFormat="1" applyFont="1" applyBorder="1" applyAlignment="1">
      <alignment horizontal="left"/>
    </xf>
    <xf numFmtId="0" fontId="19" fillId="0" borderId="8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166" fontId="19" fillId="0" borderId="4" xfId="1" applyNumberFormat="1" applyFont="1" applyBorder="1" applyAlignment="1">
      <alignment horizontal="left"/>
    </xf>
    <xf numFmtId="0" fontId="19" fillId="0" borderId="5" xfId="1" applyFont="1" applyBorder="1" applyAlignment="1">
      <alignment horizontal="center"/>
    </xf>
    <xf numFmtId="166" fontId="19" fillId="0" borderId="6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9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17" fillId="0" borderId="0" xfId="1" applyFont="1"/>
  </cellXfs>
  <cellStyles count="4">
    <cellStyle name="Comma" xfId="2" builtinId="3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Q1_demand!$N$3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59889606822401"/>
                  <c:y val="7.051242141243972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-0.1586x + 334.32</a:t>
                    </a:r>
                    <a:br>
                      <a:rPr lang="en-US" b="1" baseline="0"/>
                    </a:br>
                    <a:r>
                      <a:rPr lang="en-US" b="1" baseline="0"/>
                      <a:t>R² = 0.8874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Q1_demand!$M$4:$M$27</c:f>
              <c:numCache>
                <c:formatCode>"$"#,##0.00</c:formatCode>
                <c:ptCount val="24"/>
                <c:pt idx="0">
                  <c:v>1280</c:v>
                </c:pt>
                <c:pt idx="1">
                  <c:v>1290</c:v>
                </c:pt>
                <c:pt idx="2">
                  <c:v>1210</c:v>
                </c:pt>
                <c:pt idx="3">
                  <c:v>1190</c:v>
                </c:pt>
                <c:pt idx="4">
                  <c:v>1250</c:v>
                </c:pt>
                <c:pt idx="5">
                  <c:v>1299</c:v>
                </c:pt>
                <c:pt idx="6">
                  <c:v>1149</c:v>
                </c:pt>
                <c:pt idx="7">
                  <c:v>1149</c:v>
                </c:pt>
                <c:pt idx="8">
                  <c:v>1145</c:v>
                </c:pt>
                <c:pt idx="9">
                  <c:v>1195</c:v>
                </c:pt>
                <c:pt idx="10">
                  <c:v>1195</c:v>
                </c:pt>
                <c:pt idx="11">
                  <c:v>1210</c:v>
                </c:pt>
                <c:pt idx="12">
                  <c:v>1315</c:v>
                </c:pt>
                <c:pt idx="13">
                  <c:v>1190</c:v>
                </c:pt>
                <c:pt idx="14">
                  <c:v>1199</c:v>
                </c:pt>
                <c:pt idx="15">
                  <c:v>1210</c:v>
                </c:pt>
                <c:pt idx="16">
                  <c:v>1230</c:v>
                </c:pt>
                <c:pt idx="17">
                  <c:v>1250</c:v>
                </c:pt>
                <c:pt idx="18">
                  <c:v>1199</c:v>
                </c:pt>
                <c:pt idx="19">
                  <c:v>1149</c:v>
                </c:pt>
                <c:pt idx="20">
                  <c:v>1199</c:v>
                </c:pt>
                <c:pt idx="21">
                  <c:v>1112</c:v>
                </c:pt>
                <c:pt idx="22">
                  <c:v>1109</c:v>
                </c:pt>
                <c:pt idx="23">
                  <c:v>1115</c:v>
                </c:pt>
              </c:numCache>
            </c:numRef>
          </c:xVal>
          <c:yVal>
            <c:numRef>
              <c:f>Q1_demand!$N$4:$N$27</c:f>
              <c:numCache>
                <c:formatCode>General</c:formatCode>
                <c:ptCount val="24"/>
                <c:pt idx="0">
                  <c:v>133</c:v>
                </c:pt>
                <c:pt idx="1">
                  <c:v>129</c:v>
                </c:pt>
                <c:pt idx="2">
                  <c:v>143</c:v>
                </c:pt>
                <c:pt idx="3">
                  <c:v>152</c:v>
                </c:pt>
                <c:pt idx="4">
                  <c:v>136</c:v>
                </c:pt>
                <c:pt idx="5">
                  <c:v>125</c:v>
                </c:pt>
                <c:pt idx="6">
                  <c:v>144</c:v>
                </c:pt>
                <c:pt idx="7">
                  <c:v>153</c:v>
                </c:pt>
                <c:pt idx="8">
                  <c:v>154</c:v>
                </c:pt>
                <c:pt idx="9">
                  <c:v>148</c:v>
                </c:pt>
                <c:pt idx="10">
                  <c:v>141</c:v>
                </c:pt>
                <c:pt idx="11">
                  <c:v>137</c:v>
                </c:pt>
                <c:pt idx="12">
                  <c:v>126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139</c:v>
                </c:pt>
                <c:pt idx="17">
                  <c:v>134</c:v>
                </c:pt>
                <c:pt idx="18">
                  <c:v>144</c:v>
                </c:pt>
                <c:pt idx="19">
                  <c:v>155</c:v>
                </c:pt>
                <c:pt idx="20">
                  <c:v>145</c:v>
                </c:pt>
                <c:pt idx="21">
                  <c:v>154</c:v>
                </c:pt>
                <c:pt idx="22">
                  <c:v>158</c:v>
                </c:pt>
                <c:pt idx="23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0-4A0A-8AEE-80A9415BC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5424"/>
        <c:axId val="545210176"/>
      </c:scatterChart>
      <c:valAx>
        <c:axId val="5452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0176"/>
        <c:crosses val="autoZero"/>
        <c:crossBetween val="midCat"/>
      </c:valAx>
      <c:valAx>
        <c:axId val="5452101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Q1_demand!$C$3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84558180227472"/>
                  <c:y val="2.92785797608632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-0.1621x + 294.66</a:t>
                    </a:r>
                    <a:br>
                      <a:rPr lang="en-US" b="1" baseline="0"/>
                    </a:br>
                    <a:r>
                      <a:rPr lang="en-US" b="1" baseline="0"/>
                      <a:t>R² = 0.9222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Q1_demand!$B$4:$B$27</c:f>
              <c:numCache>
                <c:formatCode>"$"#,##0.00</c:formatCode>
                <c:ptCount val="24"/>
                <c:pt idx="0">
                  <c:v>1100</c:v>
                </c:pt>
                <c:pt idx="1">
                  <c:v>1250</c:v>
                </c:pt>
                <c:pt idx="2">
                  <c:v>1180</c:v>
                </c:pt>
                <c:pt idx="3">
                  <c:v>1290</c:v>
                </c:pt>
                <c:pt idx="4">
                  <c:v>1290</c:v>
                </c:pt>
                <c:pt idx="5">
                  <c:v>1190</c:v>
                </c:pt>
                <c:pt idx="6">
                  <c:v>1010</c:v>
                </c:pt>
                <c:pt idx="7">
                  <c:v>899</c:v>
                </c:pt>
                <c:pt idx="8">
                  <c:v>1095</c:v>
                </c:pt>
                <c:pt idx="9">
                  <c:v>1095</c:v>
                </c:pt>
                <c:pt idx="10">
                  <c:v>999</c:v>
                </c:pt>
                <c:pt idx="11">
                  <c:v>989</c:v>
                </c:pt>
                <c:pt idx="12">
                  <c:v>1115</c:v>
                </c:pt>
                <c:pt idx="13">
                  <c:v>990</c:v>
                </c:pt>
                <c:pt idx="14">
                  <c:v>890</c:v>
                </c:pt>
                <c:pt idx="15">
                  <c:v>1090</c:v>
                </c:pt>
                <c:pt idx="16">
                  <c:v>1190</c:v>
                </c:pt>
                <c:pt idx="17">
                  <c:v>1250</c:v>
                </c:pt>
                <c:pt idx="18">
                  <c:v>1140</c:v>
                </c:pt>
                <c:pt idx="19">
                  <c:v>1019</c:v>
                </c:pt>
                <c:pt idx="20">
                  <c:v>999</c:v>
                </c:pt>
                <c:pt idx="21">
                  <c:v>912</c:v>
                </c:pt>
                <c:pt idx="22">
                  <c:v>1020</c:v>
                </c:pt>
                <c:pt idx="23">
                  <c:v>1115</c:v>
                </c:pt>
              </c:numCache>
            </c:numRef>
          </c:xVal>
          <c:yVal>
            <c:numRef>
              <c:f>Q1_demand!$C$4:$C$27</c:f>
              <c:numCache>
                <c:formatCode>General</c:formatCode>
                <c:ptCount val="24"/>
                <c:pt idx="0">
                  <c:v>120</c:v>
                </c:pt>
                <c:pt idx="1">
                  <c:v>90</c:v>
                </c:pt>
                <c:pt idx="2">
                  <c:v>106</c:v>
                </c:pt>
                <c:pt idx="3">
                  <c:v>79</c:v>
                </c:pt>
                <c:pt idx="4">
                  <c:v>91</c:v>
                </c:pt>
                <c:pt idx="5">
                  <c:v>97</c:v>
                </c:pt>
                <c:pt idx="6">
                  <c:v>138</c:v>
                </c:pt>
                <c:pt idx="7">
                  <c:v>146</c:v>
                </c:pt>
                <c:pt idx="8">
                  <c:v>122</c:v>
                </c:pt>
                <c:pt idx="9">
                  <c:v>110</c:v>
                </c:pt>
                <c:pt idx="10">
                  <c:v>140</c:v>
                </c:pt>
                <c:pt idx="11">
                  <c:v>126</c:v>
                </c:pt>
                <c:pt idx="12">
                  <c:v>117</c:v>
                </c:pt>
                <c:pt idx="13">
                  <c:v>142</c:v>
                </c:pt>
                <c:pt idx="14">
                  <c:v>143</c:v>
                </c:pt>
                <c:pt idx="15">
                  <c:v>110</c:v>
                </c:pt>
                <c:pt idx="16">
                  <c:v>105</c:v>
                </c:pt>
                <c:pt idx="17">
                  <c:v>89</c:v>
                </c:pt>
                <c:pt idx="18">
                  <c:v>113</c:v>
                </c:pt>
                <c:pt idx="19">
                  <c:v>128</c:v>
                </c:pt>
                <c:pt idx="20">
                  <c:v>139</c:v>
                </c:pt>
                <c:pt idx="21">
                  <c:v>142</c:v>
                </c:pt>
                <c:pt idx="22">
                  <c:v>136</c:v>
                </c:pt>
                <c:pt idx="23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8-44BE-B072-5B7077D9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06240"/>
        <c:axId val="545203616"/>
      </c:scatterChart>
      <c:valAx>
        <c:axId val="545206240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03616"/>
        <c:crosses val="autoZero"/>
        <c:crossBetween val="midCat"/>
      </c:valAx>
      <c:valAx>
        <c:axId val="54520361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Q5_sensitivity_analysis!$P$1</c:f>
          <c:strCache>
            <c:ptCount val="1"/>
            <c:pt idx="0">
              <c:v>Sensitivity of $C$10 to Availalbe number of pumps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Q5_sensitivity_analysis!$A$5:$A$34</c:f>
              <c:numCache>
                <c:formatCode>0.0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Q5_sensitivity_analysis!$P$5:$P$34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1400.0001523607705</c:v>
                </c:pt>
                <c:pt idx="18">
                  <c:v>1338.3096853793957</c:v>
                </c:pt>
                <c:pt idx="19">
                  <c:v>1276.619384765625</c:v>
                </c:pt>
                <c:pt idx="20">
                  <c:v>1260.3824799506481</c:v>
                </c:pt>
                <c:pt idx="21">
                  <c:v>1260.3824799506481</c:v>
                </c:pt>
                <c:pt idx="22">
                  <c:v>1260.3824799506481</c:v>
                </c:pt>
                <c:pt idx="23">
                  <c:v>1260.3824799506481</c:v>
                </c:pt>
                <c:pt idx="24">
                  <c:v>1260.3824799506481</c:v>
                </c:pt>
                <c:pt idx="25">
                  <c:v>1260.3824799506481</c:v>
                </c:pt>
                <c:pt idx="26">
                  <c:v>1260.3824799506481</c:v>
                </c:pt>
                <c:pt idx="27">
                  <c:v>1260.3824799506481</c:v>
                </c:pt>
                <c:pt idx="28">
                  <c:v>1260.3824799506481</c:v>
                </c:pt>
                <c:pt idx="29">
                  <c:v>1260.3824799506481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1-4492-B505-6C890BBB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72336"/>
        <c:axId val="543070368"/>
      </c:lineChart>
      <c:catAx>
        <c:axId val="5430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Available number of pumps ($E$8)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3070368"/>
        <c:crosses val="autoZero"/>
        <c:auto val="1"/>
        <c:lblAlgn val="ctr"/>
        <c:lblOffset val="100"/>
        <c:noMultiLvlLbl val="0"/>
      </c:catAx>
      <c:valAx>
        <c:axId val="5430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07233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121920</xdr:colOff>
      <xdr:row>2</xdr:row>
      <xdr:rowOff>30480</xdr:rowOff>
    </xdr:from>
    <xdr:to>
      <xdr:col>20</xdr:col>
      <xdr:colOff>495300</xdr:colOff>
      <xdr:row>17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AFAC2-90CF-4FC1-88F8-7D5B00E4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2</xdr:row>
      <xdr:rowOff>38100</xdr:rowOff>
    </xdr:from>
    <xdr:to>
      <xdr:col>9</xdr:col>
      <xdr:colOff>556260</xdr:colOff>
      <xdr:row>18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1F6991-A3FA-42B6-8706-50DB881E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83820</xdr:colOff>
      <xdr:row>4</xdr:row>
      <xdr:rowOff>45720</xdr:rowOff>
    </xdr:from>
    <xdr:to>
      <xdr:col>13</xdr:col>
      <xdr:colOff>472440</xdr:colOff>
      <xdr:row>21</xdr:row>
      <xdr:rowOff>129540</xdr:rowOff>
    </xdr:to>
    <xdr:graphicFrame macro="">
      <xdr:nvGraphicFramePr>
        <xdr:cNvPr id="2" name="STS_6_Chart">
          <a:extLst>
            <a:ext uri="{FF2B5EF4-FFF2-40B4-BE49-F238E27FC236}">
              <a16:creationId xmlns:a16="http://schemas.microsoft.com/office/drawing/2014/main" id="{818F5633-7C05-4308-B13A-C89A0DC24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365760</xdr:colOff>
      <xdr:row>0</xdr:row>
      <xdr:rowOff>121920</xdr:rowOff>
    </xdr:from>
    <xdr:to>
      <xdr:col>13</xdr:col>
      <xdr:colOff>365760</xdr:colOff>
      <xdr:row>3</xdr:row>
      <xdr:rowOff>381000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61E865-0A5F-4481-A7AB-D57808E48B02}"/>
            </a:ext>
          </a:extLst>
        </xdr:cNvPr>
        <xdr:cNvSpPr txBox="1"/>
      </xdr:nvSpPr>
      <xdr:spPr>
        <a:xfrm>
          <a:off x="6073140" y="12192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1" workbookViewId="0"/>
  </sheetViews>
  <sheetFormatPr defaultRowHeight="14.4" x14ac:dyDescent="0.3"/>
  <cols>
    <col min="1" max="1" width="8.21875" style="91" customWidth="1"/>
    <col min="2" max="2" width="9.109375" style="91" bestFit="1" customWidth="1"/>
    <col min="3" max="10" width="8.88671875" style="91"/>
    <col min="11" max="11" width="3.77734375" style="91" customWidth="1"/>
    <col min="12" max="12" width="8.88671875" style="91"/>
    <col min="13" max="13" width="9.109375" style="91" bestFit="1" customWidth="1"/>
    <col min="14" max="256" width="8.88671875" style="91"/>
    <col min="257" max="257" width="22.88671875" style="91" customWidth="1"/>
    <col min="258" max="258" width="16.44140625" style="91" customWidth="1"/>
    <col min="259" max="259" width="8.88671875" style="91"/>
    <col min="260" max="260" width="16.44140625" style="91" customWidth="1"/>
    <col min="261" max="512" width="8.88671875" style="91"/>
    <col min="513" max="513" width="22.88671875" style="91" customWidth="1"/>
    <col min="514" max="514" width="16.44140625" style="91" customWidth="1"/>
    <col min="515" max="515" width="8.88671875" style="91"/>
    <col min="516" max="516" width="16.44140625" style="91" customWidth="1"/>
    <col min="517" max="768" width="8.88671875" style="91"/>
    <col min="769" max="769" width="22.88671875" style="91" customWidth="1"/>
    <col min="770" max="770" width="16.44140625" style="91" customWidth="1"/>
    <col min="771" max="771" width="8.88671875" style="91"/>
    <col min="772" max="772" width="16.44140625" style="91" customWidth="1"/>
    <col min="773" max="1024" width="8.88671875" style="91"/>
    <col min="1025" max="1025" width="22.88671875" style="91" customWidth="1"/>
    <col min="1026" max="1026" width="16.44140625" style="91" customWidth="1"/>
    <col min="1027" max="1027" width="8.88671875" style="91"/>
    <col min="1028" max="1028" width="16.44140625" style="91" customWidth="1"/>
    <col min="1029" max="1280" width="8.88671875" style="91"/>
    <col min="1281" max="1281" width="22.88671875" style="91" customWidth="1"/>
    <col min="1282" max="1282" width="16.44140625" style="91" customWidth="1"/>
    <col min="1283" max="1283" width="8.88671875" style="91"/>
    <col min="1284" max="1284" width="16.44140625" style="91" customWidth="1"/>
    <col min="1285" max="1536" width="8.88671875" style="91"/>
    <col min="1537" max="1537" width="22.88671875" style="91" customWidth="1"/>
    <col min="1538" max="1538" width="16.44140625" style="91" customWidth="1"/>
    <col min="1539" max="1539" width="8.88671875" style="91"/>
    <col min="1540" max="1540" width="16.44140625" style="91" customWidth="1"/>
    <col min="1541" max="1792" width="8.88671875" style="91"/>
    <col min="1793" max="1793" width="22.88671875" style="91" customWidth="1"/>
    <col min="1794" max="1794" width="16.44140625" style="91" customWidth="1"/>
    <col min="1795" max="1795" width="8.88671875" style="91"/>
    <col min="1796" max="1796" width="16.44140625" style="91" customWidth="1"/>
    <col min="1797" max="2048" width="8.88671875" style="91"/>
    <col min="2049" max="2049" width="22.88671875" style="91" customWidth="1"/>
    <col min="2050" max="2050" width="16.44140625" style="91" customWidth="1"/>
    <col min="2051" max="2051" width="8.88671875" style="91"/>
    <col min="2052" max="2052" width="16.44140625" style="91" customWidth="1"/>
    <col min="2053" max="2304" width="8.88671875" style="91"/>
    <col min="2305" max="2305" width="22.88671875" style="91" customWidth="1"/>
    <col min="2306" max="2306" width="16.44140625" style="91" customWidth="1"/>
    <col min="2307" max="2307" width="8.88671875" style="91"/>
    <col min="2308" max="2308" width="16.44140625" style="91" customWidth="1"/>
    <col min="2309" max="2560" width="8.88671875" style="91"/>
    <col min="2561" max="2561" width="22.88671875" style="91" customWidth="1"/>
    <col min="2562" max="2562" width="16.44140625" style="91" customWidth="1"/>
    <col min="2563" max="2563" width="8.88671875" style="91"/>
    <col min="2564" max="2564" width="16.44140625" style="91" customWidth="1"/>
    <col min="2565" max="2816" width="8.88671875" style="91"/>
    <col min="2817" max="2817" width="22.88671875" style="91" customWidth="1"/>
    <col min="2818" max="2818" width="16.44140625" style="91" customWidth="1"/>
    <col min="2819" max="2819" width="8.88671875" style="91"/>
    <col min="2820" max="2820" width="16.44140625" style="91" customWidth="1"/>
    <col min="2821" max="3072" width="8.88671875" style="91"/>
    <col min="3073" max="3073" width="22.88671875" style="91" customWidth="1"/>
    <col min="3074" max="3074" width="16.44140625" style="91" customWidth="1"/>
    <col min="3075" max="3075" width="8.88671875" style="91"/>
    <col min="3076" max="3076" width="16.44140625" style="91" customWidth="1"/>
    <col min="3077" max="3328" width="8.88671875" style="91"/>
    <col min="3329" max="3329" width="22.88671875" style="91" customWidth="1"/>
    <col min="3330" max="3330" width="16.44140625" style="91" customWidth="1"/>
    <col min="3331" max="3331" width="8.88671875" style="91"/>
    <col min="3332" max="3332" width="16.44140625" style="91" customWidth="1"/>
    <col min="3333" max="3584" width="8.88671875" style="91"/>
    <col min="3585" max="3585" width="22.88671875" style="91" customWidth="1"/>
    <col min="3586" max="3586" width="16.44140625" style="91" customWidth="1"/>
    <col min="3587" max="3587" width="8.88671875" style="91"/>
    <col min="3588" max="3588" width="16.44140625" style="91" customWidth="1"/>
    <col min="3589" max="3840" width="8.88671875" style="91"/>
    <col min="3841" max="3841" width="22.88671875" style="91" customWidth="1"/>
    <col min="3842" max="3842" width="16.44140625" style="91" customWidth="1"/>
    <col min="3843" max="3843" width="8.88671875" style="91"/>
    <col min="3844" max="3844" width="16.44140625" style="91" customWidth="1"/>
    <col min="3845" max="4096" width="8.88671875" style="91"/>
    <col min="4097" max="4097" width="22.88671875" style="91" customWidth="1"/>
    <col min="4098" max="4098" width="16.44140625" style="91" customWidth="1"/>
    <col min="4099" max="4099" width="8.88671875" style="91"/>
    <col min="4100" max="4100" width="16.44140625" style="91" customWidth="1"/>
    <col min="4101" max="4352" width="8.88671875" style="91"/>
    <col min="4353" max="4353" width="22.88671875" style="91" customWidth="1"/>
    <col min="4354" max="4354" width="16.44140625" style="91" customWidth="1"/>
    <col min="4355" max="4355" width="8.88671875" style="91"/>
    <col min="4356" max="4356" width="16.44140625" style="91" customWidth="1"/>
    <col min="4357" max="4608" width="8.88671875" style="91"/>
    <col min="4609" max="4609" width="22.88671875" style="91" customWidth="1"/>
    <col min="4610" max="4610" width="16.44140625" style="91" customWidth="1"/>
    <col min="4611" max="4611" width="8.88671875" style="91"/>
    <col min="4612" max="4612" width="16.44140625" style="91" customWidth="1"/>
    <col min="4613" max="4864" width="8.88671875" style="91"/>
    <col min="4865" max="4865" width="22.88671875" style="91" customWidth="1"/>
    <col min="4866" max="4866" width="16.44140625" style="91" customWidth="1"/>
    <col min="4867" max="4867" width="8.88671875" style="91"/>
    <col min="4868" max="4868" width="16.44140625" style="91" customWidth="1"/>
    <col min="4869" max="5120" width="8.88671875" style="91"/>
    <col min="5121" max="5121" width="22.88671875" style="91" customWidth="1"/>
    <col min="5122" max="5122" width="16.44140625" style="91" customWidth="1"/>
    <col min="5123" max="5123" width="8.88671875" style="91"/>
    <col min="5124" max="5124" width="16.44140625" style="91" customWidth="1"/>
    <col min="5125" max="5376" width="8.88671875" style="91"/>
    <col min="5377" max="5377" width="22.88671875" style="91" customWidth="1"/>
    <col min="5378" max="5378" width="16.44140625" style="91" customWidth="1"/>
    <col min="5379" max="5379" width="8.88671875" style="91"/>
    <col min="5380" max="5380" width="16.44140625" style="91" customWidth="1"/>
    <col min="5381" max="5632" width="8.88671875" style="91"/>
    <col min="5633" max="5633" width="22.88671875" style="91" customWidth="1"/>
    <col min="5634" max="5634" width="16.44140625" style="91" customWidth="1"/>
    <col min="5635" max="5635" width="8.88671875" style="91"/>
    <col min="5636" max="5636" width="16.44140625" style="91" customWidth="1"/>
    <col min="5637" max="5888" width="8.88671875" style="91"/>
    <col min="5889" max="5889" width="22.88671875" style="91" customWidth="1"/>
    <col min="5890" max="5890" width="16.44140625" style="91" customWidth="1"/>
    <col min="5891" max="5891" width="8.88671875" style="91"/>
    <col min="5892" max="5892" width="16.44140625" style="91" customWidth="1"/>
    <col min="5893" max="6144" width="8.88671875" style="91"/>
    <col min="6145" max="6145" width="22.88671875" style="91" customWidth="1"/>
    <col min="6146" max="6146" width="16.44140625" style="91" customWidth="1"/>
    <col min="6147" max="6147" width="8.88671875" style="91"/>
    <col min="6148" max="6148" width="16.44140625" style="91" customWidth="1"/>
    <col min="6149" max="6400" width="8.88671875" style="91"/>
    <col min="6401" max="6401" width="22.88671875" style="91" customWidth="1"/>
    <col min="6402" max="6402" width="16.44140625" style="91" customWidth="1"/>
    <col min="6403" max="6403" width="8.88671875" style="91"/>
    <col min="6404" max="6404" width="16.44140625" style="91" customWidth="1"/>
    <col min="6405" max="6656" width="8.88671875" style="91"/>
    <col min="6657" max="6657" width="22.88671875" style="91" customWidth="1"/>
    <col min="6658" max="6658" width="16.44140625" style="91" customWidth="1"/>
    <col min="6659" max="6659" width="8.88671875" style="91"/>
    <col min="6660" max="6660" width="16.44140625" style="91" customWidth="1"/>
    <col min="6661" max="6912" width="8.88671875" style="91"/>
    <col min="6913" max="6913" width="22.88671875" style="91" customWidth="1"/>
    <col min="6914" max="6914" width="16.44140625" style="91" customWidth="1"/>
    <col min="6915" max="6915" width="8.88671875" style="91"/>
    <col min="6916" max="6916" width="16.44140625" style="91" customWidth="1"/>
    <col min="6917" max="7168" width="8.88671875" style="91"/>
    <col min="7169" max="7169" width="22.88671875" style="91" customWidth="1"/>
    <col min="7170" max="7170" width="16.44140625" style="91" customWidth="1"/>
    <col min="7171" max="7171" width="8.88671875" style="91"/>
    <col min="7172" max="7172" width="16.44140625" style="91" customWidth="1"/>
    <col min="7173" max="7424" width="8.88671875" style="91"/>
    <col min="7425" max="7425" width="22.88671875" style="91" customWidth="1"/>
    <col min="7426" max="7426" width="16.44140625" style="91" customWidth="1"/>
    <col min="7427" max="7427" width="8.88671875" style="91"/>
    <col min="7428" max="7428" width="16.44140625" style="91" customWidth="1"/>
    <col min="7429" max="7680" width="8.88671875" style="91"/>
    <col min="7681" max="7681" width="22.88671875" style="91" customWidth="1"/>
    <col min="7682" max="7682" width="16.44140625" style="91" customWidth="1"/>
    <col min="7683" max="7683" width="8.88671875" style="91"/>
    <col min="7684" max="7684" width="16.44140625" style="91" customWidth="1"/>
    <col min="7685" max="7936" width="8.88671875" style="91"/>
    <col min="7937" max="7937" width="22.88671875" style="91" customWidth="1"/>
    <col min="7938" max="7938" width="16.44140625" style="91" customWidth="1"/>
    <col min="7939" max="7939" width="8.88671875" style="91"/>
    <col min="7940" max="7940" width="16.44140625" style="91" customWidth="1"/>
    <col min="7941" max="8192" width="8.88671875" style="91"/>
    <col min="8193" max="8193" width="22.88671875" style="91" customWidth="1"/>
    <col min="8194" max="8194" width="16.44140625" style="91" customWidth="1"/>
    <col min="8195" max="8195" width="8.88671875" style="91"/>
    <col min="8196" max="8196" width="16.44140625" style="91" customWidth="1"/>
    <col min="8197" max="8448" width="8.88671875" style="91"/>
    <col min="8449" max="8449" width="22.88671875" style="91" customWidth="1"/>
    <col min="8450" max="8450" width="16.44140625" style="91" customWidth="1"/>
    <col min="8451" max="8451" width="8.88671875" style="91"/>
    <col min="8452" max="8452" width="16.44140625" style="91" customWidth="1"/>
    <col min="8453" max="8704" width="8.88671875" style="91"/>
    <col min="8705" max="8705" width="22.88671875" style="91" customWidth="1"/>
    <col min="8706" max="8706" width="16.44140625" style="91" customWidth="1"/>
    <col min="8707" max="8707" width="8.88671875" style="91"/>
    <col min="8708" max="8708" width="16.44140625" style="91" customWidth="1"/>
    <col min="8709" max="8960" width="8.88671875" style="91"/>
    <col min="8961" max="8961" width="22.88671875" style="91" customWidth="1"/>
    <col min="8962" max="8962" width="16.44140625" style="91" customWidth="1"/>
    <col min="8963" max="8963" width="8.88671875" style="91"/>
    <col min="8964" max="8964" width="16.44140625" style="91" customWidth="1"/>
    <col min="8965" max="9216" width="8.88671875" style="91"/>
    <col min="9217" max="9217" width="22.88671875" style="91" customWidth="1"/>
    <col min="9218" max="9218" width="16.44140625" style="91" customWidth="1"/>
    <col min="9219" max="9219" width="8.88671875" style="91"/>
    <col min="9220" max="9220" width="16.44140625" style="91" customWidth="1"/>
    <col min="9221" max="9472" width="8.88671875" style="91"/>
    <col min="9473" max="9473" width="22.88671875" style="91" customWidth="1"/>
    <col min="9474" max="9474" width="16.44140625" style="91" customWidth="1"/>
    <col min="9475" max="9475" width="8.88671875" style="91"/>
    <col min="9476" max="9476" width="16.44140625" style="91" customWidth="1"/>
    <col min="9477" max="9728" width="8.88671875" style="91"/>
    <col min="9729" max="9729" width="22.88671875" style="91" customWidth="1"/>
    <col min="9730" max="9730" width="16.44140625" style="91" customWidth="1"/>
    <col min="9731" max="9731" width="8.88671875" style="91"/>
    <col min="9732" max="9732" width="16.44140625" style="91" customWidth="1"/>
    <col min="9733" max="9984" width="8.88671875" style="91"/>
    <col min="9985" max="9985" width="22.88671875" style="91" customWidth="1"/>
    <col min="9986" max="9986" width="16.44140625" style="91" customWidth="1"/>
    <col min="9987" max="9987" width="8.88671875" style="91"/>
    <col min="9988" max="9988" width="16.44140625" style="91" customWidth="1"/>
    <col min="9989" max="10240" width="8.88671875" style="91"/>
    <col min="10241" max="10241" width="22.88671875" style="91" customWidth="1"/>
    <col min="10242" max="10242" width="16.44140625" style="91" customWidth="1"/>
    <col min="10243" max="10243" width="8.88671875" style="91"/>
    <col min="10244" max="10244" width="16.44140625" style="91" customWidth="1"/>
    <col min="10245" max="10496" width="8.88671875" style="91"/>
    <col min="10497" max="10497" width="22.88671875" style="91" customWidth="1"/>
    <col min="10498" max="10498" width="16.44140625" style="91" customWidth="1"/>
    <col min="10499" max="10499" width="8.88671875" style="91"/>
    <col min="10500" max="10500" width="16.44140625" style="91" customWidth="1"/>
    <col min="10501" max="10752" width="8.88671875" style="91"/>
    <col min="10753" max="10753" width="22.88671875" style="91" customWidth="1"/>
    <col min="10754" max="10754" width="16.44140625" style="91" customWidth="1"/>
    <col min="10755" max="10755" width="8.88671875" style="91"/>
    <col min="10756" max="10756" width="16.44140625" style="91" customWidth="1"/>
    <col min="10757" max="11008" width="8.88671875" style="91"/>
    <col min="11009" max="11009" width="22.88671875" style="91" customWidth="1"/>
    <col min="11010" max="11010" width="16.44140625" style="91" customWidth="1"/>
    <col min="11011" max="11011" width="8.88671875" style="91"/>
    <col min="11012" max="11012" width="16.44140625" style="91" customWidth="1"/>
    <col min="11013" max="11264" width="8.88671875" style="91"/>
    <col min="11265" max="11265" width="22.88671875" style="91" customWidth="1"/>
    <col min="11266" max="11266" width="16.44140625" style="91" customWidth="1"/>
    <col min="11267" max="11267" width="8.88671875" style="91"/>
    <col min="11268" max="11268" width="16.44140625" style="91" customWidth="1"/>
    <col min="11269" max="11520" width="8.88671875" style="91"/>
    <col min="11521" max="11521" width="22.88671875" style="91" customWidth="1"/>
    <col min="11522" max="11522" width="16.44140625" style="91" customWidth="1"/>
    <col min="11523" max="11523" width="8.88671875" style="91"/>
    <col min="11524" max="11524" width="16.44140625" style="91" customWidth="1"/>
    <col min="11525" max="11776" width="8.88671875" style="91"/>
    <col min="11777" max="11777" width="22.88671875" style="91" customWidth="1"/>
    <col min="11778" max="11778" width="16.44140625" style="91" customWidth="1"/>
    <col min="11779" max="11779" width="8.88671875" style="91"/>
    <col min="11780" max="11780" width="16.44140625" style="91" customWidth="1"/>
    <col min="11781" max="12032" width="8.88671875" style="91"/>
    <col min="12033" max="12033" width="22.88671875" style="91" customWidth="1"/>
    <col min="12034" max="12034" width="16.44140625" style="91" customWidth="1"/>
    <col min="12035" max="12035" width="8.88671875" style="91"/>
    <col min="12036" max="12036" width="16.44140625" style="91" customWidth="1"/>
    <col min="12037" max="12288" width="8.88671875" style="91"/>
    <col min="12289" max="12289" width="22.88671875" style="91" customWidth="1"/>
    <col min="12290" max="12290" width="16.44140625" style="91" customWidth="1"/>
    <col min="12291" max="12291" width="8.88671875" style="91"/>
    <col min="12292" max="12292" width="16.44140625" style="91" customWidth="1"/>
    <col min="12293" max="12544" width="8.88671875" style="91"/>
    <col min="12545" max="12545" width="22.88671875" style="91" customWidth="1"/>
    <col min="12546" max="12546" width="16.44140625" style="91" customWidth="1"/>
    <col min="12547" max="12547" width="8.88671875" style="91"/>
    <col min="12548" max="12548" width="16.44140625" style="91" customWidth="1"/>
    <col min="12549" max="12800" width="8.88671875" style="91"/>
    <col min="12801" max="12801" width="22.88671875" style="91" customWidth="1"/>
    <col min="12802" max="12802" width="16.44140625" style="91" customWidth="1"/>
    <col min="12803" max="12803" width="8.88671875" style="91"/>
    <col min="12804" max="12804" width="16.44140625" style="91" customWidth="1"/>
    <col min="12805" max="13056" width="8.88671875" style="91"/>
    <col min="13057" max="13057" width="22.88671875" style="91" customWidth="1"/>
    <col min="13058" max="13058" width="16.44140625" style="91" customWidth="1"/>
    <col min="13059" max="13059" width="8.88671875" style="91"/>
    <col min="13060" max="13060" width="16.44140625" style="91" customWidth="1"/>
    <col min="13061" max="13312" width="8.88671875" style="91"/>
    <col min="13313" max="13313" width="22.88671875" style="91" customWidth="1"/>
    <col min="13314" max="13314" width="16.44140625" style="91" customWidth="1"/>
    <col min="13315" max="13315" width="8.88671875" style="91"/>
    <col min="13316" max="13316" width="16.44140625" style="91" customWidth="1"/>
    <col min="13317" max="13568" width="8.88671875" style="91"/>
    <col min="13569" max="13569" width="22.88671875" style="91" customWidth="1"/>
    <col min="13570" max="13570" width="16.44140625" style="91" customWidth="1"/>
    <col min="13571" max="13571" width="8.88671875" style="91"/>
    <col min="13572" max="13572" width="16.44140625" style="91" customWidth="1"/>
    <col min="13573" max="13824" width="8.88671875" style="91"/>
    <col min="13825" max="13825" width="22.88671875" style="91" customWidth="1"/>
    <col min="13826" max="13826" width="16.44140625" style="91" customWidth="1"/>
    <col min="13827" max="13827" width="8.88671875" style="91"/>
    <col min="13828" max="13828" width="16.44140625" style="91" customWidth="1"/>
    <col min="13829" max="14080" width="8.88671875" style="91"/>
    <col min="14081" max="14081" width="22.88671875" style="91" customWidth="1"/>
    <col min="14082" max="14082" width="16.44140625" style="91" customWidth="1"/>
    <col min="14083" max="14083" width="8.88671875" style="91"/>
    <col min="14084" max="14084" width="16.44140625" style="91" customWidth="1"/>
    <col min="14085" max="14336" width="8.88671875" style="91"/>
    <col min="14337" max="14337" width="22.88671875" style="91" customWidth="1"/>
    <col min="14338" max="14338" width="16.44140625" style="91" customWidth="1"/>
    <col min="14339" max="14339" width="8.88671875" style="91"/>
    <col min="14340" max="14340" width="16.44140625" style="91" customWidth="1"/>
    <col min="14341" max="14592" width="8.88671875" style="91"/>
    <col min="14593" max="14593" width="22.88671875" style="91" customWidth="1"/>
    <col min="14594" max="14594" width="16.44140625" style="91" customWidth="1"/>
    <col min="14595" max="14595" width="8.88671875" style="91"/>
    <col min="14596" max="14596" width="16.44140625" style="91" customWidth="1"/>
    <col min="14597" max="14848" width="8.88671875" style="91"/>
    <col min="14849" max="14849" width="22.88671875" style="91" customWidth="1"/>
    <col min="14850" max="14850" width="16.44140625" style="91" customWidth="1"/>
    <col min="14851" max="14851" width="8.88671875" style="91"/>
    <col min="14852" max="14852" width="16.44140625" style="91" customWidth="1"/>
    <col min="14853" max="15104" width="8.88671875" style="91"/>
    <col min="15105" max="15105" width="22.88671875" style="91" customWidth="1"/>
    <col min="15106" max="15106" width="16.44140625" style="91" customWidth="1"/>
    <col min="15107" max="15107" width="8.88671875" style="91"/>
    <col min="15108" max="15108" width="16.44140625" style="91" customWidth="1"/>
    <col min="15109" max="15360" width="8.88671875" style="91"/>
    <col min="15361" max="15361" width="22.88671875" style="91" customWidth="1"/>
    <col min="15362" max="15362" width="16.44140625" style="91" customWidth="1"/>
    <col min="15363" max="15363" width="8.88671875" style="91"/>
    <col min="15364" max="15364" width="16.44140625" style="91" customWidth="1"/>
    <col min="15365" max="15616" width="8.88671875" style="91"/>
    <col min="15617" max="15617" width="22.88671875" style="91" customWidth="1"/>
    <col min="15618" max="15618" width="16.44140625" style="91" customWidth="1"/>
    <col min="15619" max="15619" width="8.88671875" style="91"/>
    <col min="15620" max="15620" width="16.44140625" style="91" customWidth="1"/>
    <col min="15621" max="15872" width="8.88671875" style="91"/>
    <col min="15873" max="15873" width="22.88671875" style="91" customWidth="1"/>
    <col min="15874" max="15874" width="16.44140625" style="91" customWidth="1"/>
    <col min="15875" max="15875" width="8.88671875" style="91"/>
    <col min="15876" max="15876" width="16.44140625" style="91" customWidth="1"/>
    <col min="15877" max="16128" width="8.88671875" style="91"/>
    <col min="16129" max="16129" width="22.88671875" style="91" customWidth="1"/>
    <col min="16130" max="16130" width="16.44140625" style="91" customWidth="1"/>
    <col min="16131" max="16131" width="8.88671875" style="91"/>
    <col min="16132" max="16132" width="16.44140625" style="91" customWidth="1"/>
    <col min="16133" max="16384" width="8.88671875" style="91"/>
  </cols>
  <sheetData>
    <row r="1" spans="1:14" x14ac:dyDescent="0.3">
      <c r="A1" s="130" t="s">
        <v>117</v>
      </c>
      <c r="L1" s="115" t="s">
        <v>118</v>
      </c>
    </row>
    <row r="2" spans="1:14" x14ac:dyDescent="0.3">
      <c r="A2" s="115"/>
      <c r="L2" s="115"/>
    </row>
    <row r="3" spans="1:14" x14ac:dyDescent="0.3">
      <c r="A3" s="92" t="s">
        <v>72</v>
      </c>
      <c r="B3" s="92" t="s">
        <v>73</v>
      </c>
      <c r="C3" s="92" t="s">
        <v>11</v>
      </c>
      <c r="D3" s="95"/>
      <c r="E3" s="95"/>
      <c r="F3" s="95"/>
      <c r="G3" s="95"/>
      <c r="H3" s="95"/>
      <c r="I3" s="95"/>
      <c r="J3" s="95"/>
      <c r="L3" s="92" t="s">
        <v>72</v>
      </c>
      <c r="M3" s="92" t="s">
        <v>73</v>
      </c>
      <c r="N3" s="92" t="s">
        <v>11</v>
      </c>
    </row>
    <row r="4" spans="1:14" x14ac:dyDescent="0.3">
      <c r="A4" s="93">
        <v>1</v>
      </c>
      <c r="B4" s="94">
        <v>1100</v>
      </c>
      <c r="C4" s="93">
        <v>120</v>
      </c>
      <c r="D4" s="111"/>
      <c r="E4" s="96"/>
      <c r="F4" s="96"/>
      <c r="G4" s="96"/>
      <c r="H4" s="96"/>
      <c r="I4" s="96"/>
      <c r="J4" s="96"/>
      <c r="L4" s="93">
        <v>1</v>
      </c>
      <c r="M4" s="94">
        <v>1280</v>
      </c>
      <c r="N4" s="93">
        <v>133</v>
      </c>
    </row>
    <row r="5" spans="1:14" x14ac:dyDescent="0.3">
      <c r="A5" s="93">
        <v>2</v>
      </c>
      <c r="B5" s="94">
        <v>1250</v>
      </c>
      <c r="C5" s="93">
        <v>90</v>
      </c>
      <c r="D5" s="111"/>
      <c r="E5" s="96"/>
      <c r="F5" s="96"/>
      <c r="G5" s="96"/>
      <c r="H5" s="96"/>
      <c r="I5" s="96"/>
      <c r="J5" s="96"/>
      <c r="L5" s="93">
        <v>2</v>
      </c>
      <c r="M5" s="94">
        <v>1290</v>
      </c>
      <c r="N5" s="93">
        <v>129</v>
      </c>
    </row>
    <row r="6" spans="1:14" x14ac:dyDescent="0.3">
      <c r="A6" s="93">
        <v>3</v>
      </c>
      <c r="B6" s="94">
        <v>1180</v>
      </c>
      <c r="C6" s="93">
        <v>106</v>
      </c>
      <c r="D6" s="111"/>
      <c r="E6" s="96"/>
      <c r="F6" s="96"/>
      <c r="G6" s="96"/>
      <c r="H6" s="96"/>
      <c r="I6" s="96"/>
      <c r="J6" s="96"/>
      <c r="L6" s="93">
        <v>3</v>
      </c>
      <c r="M6" s="94">
        <v>1210</v>
      </c>
      <c r="N6" s="93">
        <v>143</v>
      </c>
    </row>
    <row r="7" spans="1:14" x14ac:dyDescent="0.3">
      <c r="A7" s="93">
        <v>4</v>
      </c>
      <c r="B7" s="94">
        <v>1290</v>
      </c>
      <c r="C7" s="93">
        <v>79</v>
      </c>
      <c r="D7" s="111"/>
      <c r="E7" s="96"/>
      <c r="F7" s="96"/>
      <c r="G7" s="96"/>
      <c r="H7" s="96"/>
      <c r="I7" s="96"/>
      <c r="J7" s="96"/>
      <c r="L7" s="93">
        <v>4</v>
      </c>
      <c r="M7" s="94">
        <v>1190</v>
      </c>
      <c r="N7" s="93">
        <v>152</v>
      </c>
    </row>
    <row r="8" spans="1:14" x14ac:dyDescent="0.3">
      <c r="A8" s="93">
        <v>5</v>
      </c>
      <c r="B8" s="94">
        <v>1290</v>
      </c>
      <c r="C8" s="93">
        <v>91</v>
      </c>
      <c r="D8" s="111"/>
      <c r="E8" s="96"/>
      <c r="F8" s="96"/>
      <c r="G8" s="96"/>
      <c r="H8" s="96"/>
      <c r="I8" s="96"/>
      <c r="J8" s="96"/>
      <c r="L8" s="93">
        <v>5</v>
      </c>
      <c r="M8" s="94">
        <v>1250</v>
      </c>
      <c r="N8" s="93">
        <v>136</v>
      </c>
    </row>
    <row r="9" spans="1:14" x14ac:dyDescent="0.3">
      <c r="A9" s="93">
        <v>6</v>
      </c>
      <c r="B9" s="94">
        <v>1190</v>
      </c>
      <c r="C9" s="93">
        <v>97</v>
      </c>
      <c r="D9" s="111"/>
      <c r="E9" s="96"/>
      <c r="F9" s="96"/>
      <c r="G9" s="96"/>
      <c r="H9" s="96"/>
      <c r="I9" s="96"/>
      <c r="J9" s="96"/>
      <c r="L9" s="93">
        <v>6</v>
      </c>
      <c r="M9" s="94">
        <v>1299</v>
      </c>
      <c r="N9" s="93">
        <v>125</v>
      </c>
    </row>
    <row r="10" spans="1:14" x14ac:dyDescent="0.3">
      <c r="A10" s="93">
        <v>7</v>
      </c>
      <c r="B10" s="94">
        <v>1010</v>
      </c>
      <c r="C10" s="93">
        <v>138</v>
      </c>
      <c r="D10" s="111"/>
      <c r="E10" s="96"/>
      <c r="F10" s="96"/>
      <c r="G10" s="96"/>
      <c r="H10" s="96"/>
      <c r="I10" s="96"/>
      <c r="J10" s="96"/>
      <c r="L10" s="93">
        <v>7</v>
      </c>
      <c r="M10" s="94">
        <v>1149</v>
      </c>
      <c r="N10" s="93">
        <v>144</v>
      </c>
    </row>
    <row r="11" spans="1:14" x14ac:dyDescent="0.3">
      <c r="A11" s="93">
        <v>8</v>
      </c>
      <c r="B11" s="94">
        <v>899</v>
      </c>
      <c r="C11" s="93">
        <v>146</v>
      </c>
      <c r="D11" s="111"/>
      <c r="E11" s="96"/>
      <c r="F11" s="96"/>
      <c r="G11" s="96"/>
      <c r="H11" s="96"/>
      <c r="I11" s="96"/>
      <c r="J11" s="96"/>
      <c r="L11" s="93">
        <v>8</v>
      </c>
      <c r="M11" s="94">
        <v>1149</v>
      </c>
      <c r="N11" s="93">
        <v>153</v>
      </c>
    </row>
    <row r="12" spans="1:14" x14ac:dyDescent="0.3">
      <c r="A12" s="93">
        <v>9</v>
      </c>
      <c r="B12" s="94">
        <v>1095</v>
      </c>
      <c r="C12" s="93">
        <v>122</v>
      </c>
      <c r="D12" s="111"/>
      <c r="E12" s="96"/>
      <c r="F12" s="96"/>
      <c r="G12" s="96"/>
      <c r="H12" s="96"/>
      <c r="I12" s="96"/>
      <c r="J12" s="96"/>
      <c r="L12" s="93">
        <v>9</v>
      </c>
      <c r="M12" s="94">
        <v>1145</v>
      </c>
      <c r="N12" s="93">
        <v>154</v>
      </c>
    </row>
    <row r="13" spans="1:14" x14ac:dyDescent="0.3">
      <c r="A13" s="93">
        <v>10</v>
      </c>
      <c r="B13" s="94">
        <v>1095</v>
      </c>
      <c r="C13" s="93">
        <v>110</v>
      </c>
      <c r="D13" s="111"/>
      <c r="E13" s="96"/>
      <c r="F13" s="96"/>
      <c r="G13" s="96"/>
      <c r="H13" s="96"/>
      <c r="I13" s="96"/>
      <c r="J13" s="96"/>
      <c r="L13" s="93">
        <v>10</v>
      </c>
      <c r="M13" s="94">
        <v>1195</v>
      </c>
      <c r="N13" s="93">
        <v>148</v>
      </c>
    </row>
    <row r="14" spans="1:14" x14ac:dyDescent="0.3">
      <c r="A14" s="93">
        <v>11</v>
      </c>
      <c r="B14" s="94">
        <v>999</v>
      </c>
      <c r="C14" s="93">
        <v>140</v>
      </c>
      <c r="D14" s="111"/>
      <c r="E14" s="96"/>
      <c r="F14" s="96"/>
      <c r="G14" s="96"/>
      <c r="H14" s="96"/>
      <c r="I14" s="96"/>
      <c r="J14" s="96"/>
      <c r="L14" s="93">
        <v>11</v>
      </c>
      <c r="M14" s="94">
        <v>1195</v>
      </c>
      <c r="N14" s="93">
        <v>141</v>
      </c>
    </row>
    <row r="15" spans="1:14" x14ac:dyDescent="0.3">
      <c r="A15" s="93">
        <v>12</v>
      </c>
      <c r="B15" s="94">
        <v>989</v>
      </c>
      <c r="C15" s="93">
        <v>126</v>
      </c>
      <c r="D15" s="111"/>
      <c r="E15" s="96"/>
      <c r="F15" s="96"/>
      <c r="G15" s="96"/>
      <c r="H15" s="96"/>
      <c r="I15" s="96"/>
      <c r="J15" s="96"/>
      <c r="L15" s="93">
        <v>12</v>
      </c>
      <c r="M15" s="94">
        <v>1210</v>
      </c>
      <c r="N15" s="93">
        <v>137</v>
      </c>
    </row>
    <row r="16" spans="1:14" x14ac:dyDescent="0.3">
      <c r="A16" s="93">
        <v>13</v>
      </c>
      <c r="B16" s="94">
        <v>1115</v>
      </c>
      <c r="C16" s="93">
        <v>117</v>
      </c>
      <c r="D16" s="111"/>
      <c r="E16" s="96"/>
      <c r="F16" s="96"/>
      <c r="G16" s="96"/>
      <c r="H16" s="96"/>
      <c r="I16" s="96"/>
      <c r="J16" s="96"/>
      <c r="L16" s="93">
        <v>13</v>
      </c>
      <c r="M16" s="94">
        <v>1315</v>
      </c>
      <c r="N16" s="93">
        <v>126</v>
      </c>
    </row>
    <row r="17" spans="1:21" x14ac:dyDescent="0.3">
      <c r="A17" s="93">
        <v>14</v>
      </c>
      <c r="B17" s="94">
        <v>990</v>
      </c>
      <c r="C17" s="93">
        <v>142</v>
      </c>
      <c r="D17" s="111"/>
      <c r="E17" s="96"/>
      <c r="F17" s="96"/>
      <c r="G17" s="96"/>
      <c r="H17" s="96"/>
      <c r="I17" s="96"/>
      <c r="J17" s="96"/>
      <c r="L17" s="93">
        <v>14</v>
      </c>
      <c r="M17" s="94">
        <v>1190</v>
      </c>
      <c r="N17" s="93">
        <v>146</v>
      </c>
    </row>
    <row r="18" spans="1:21" x14ac:dyDescent="0.3">
      <c r="A18" s="93">
        <v>15</v>
      </c>
      <c r="B18" s="94">
        <v>890</v>
      </c>
      <c r="C18" s="93">
        <v>143</v>
      </c>
      <c r="D18" s="111"/>
      <c r="E18" s="96"/>
      <c r="F18" s="96"/>
      <c r="G18" s="96"/>
      <c r="H18" s="96"/>
      <c r="I18" s="96"/>
      <c r="J18" s="96"/>
      <c r="L18" s="93">
        <v>15</v>
      </c>
      <c r="M18" s="94">
        <v>1199</v>
      </c>
      <c r="N18" s="93">
        <v>147</v>
      </c>
    </row>
    <row r="19" spans="1:21" ht="15" thickBot="1" x14ac:dyDescent="0.35">
      <c r="A19" s="93">
        <v>16</v>
      </c>
      <c r="B19" s="94">
        <v>1090</v>
      </c>
      <c r="C19" s="93">
        <v>110</v>
      </c>
      <c r="D19" s="111"/>
      <c r="E19" s="96"/>
      <c r="F19" s="96"/>
      <c r="G19" s="96"/>
      <c r="H19" s="96"/>
      <c r="I19" s="96"/>
      <c r="J19" s="96"/>
      <c r="L19" s="93">
        <v>16</v>
      </c>
      <c r="M19" s="94">
        <v>1210</v>
      </c>
      <c r="N19" s="93">
        <v>148</v>
      </c>
    </row>
    <row r="20" spans="1:21" x14ac:dyDescent="0.3">
      <c r="A20" s="93">
        <v>17</v>
      </c>
      <c r="B20" s="94">
        <v>1190</v>
      </c>
      <c r="C20" s="116">
        <v>105</v>
      </c>
      <c r="D20" s="117" t="s">
        <v>85</v>
      </c>
      <c r="E20" s="118"/>
      <c r="F20" s="118"/>
      <c r="G20" s="118"/>
      <c r="H20" s="118"/>
      <c r="I20" s="118"/>
      <c r="J20" s="119"/>
      <c r="L20" s="93">
        <v>17</v>
      </c>
      <c r="M20" s="94">
        <v>1230</v>
      </c>
      <c r="N20" s="93">
        <v>139</v>
      </c>
      <c r="O20" s="117" t="s">
        <v>85</v>
      </c>
      <c r="P20" s="118"/>
      <c r="Q20" s="118"/>
      <c r="R20" s="118"/>
      <c r="S20" s="118"/>
      <c r="T20" s="118"/>
      <c r="U20" s="119"/>
    </row>
    <row r="21" spans="1:21" x14ac:dyDescent="0.3">
      <c r="A21" s="93">
        <v>18</v>
      </c>
      <c r="B21" s="94">
        <v>1250</v>
      </c>
      <c r="C21" s="116">
        <v>89</v>
      </c>
      <c r="D21" s="120" t="s">
        <v>87</v>
      </c>
      <c r="E21" s="96"/>
      <c r="F21" s="96"/>
      <c r="G21" s="96"/>
      <c r="H21" s="96"/>
      <c r="I21" s="96"/>
      <c r="J21" s="121"/>
      <c r="L21" s="93">
        <v>18</v>
      </c>
      <c r="M21" s="94">
        <v>1250</v>
      </c>
      <c r="N21" s="93">
        <v>134</v>
      </c>
      <c r="O21" s="120" t="s">
        <v>88</v>
      </c>
      <c r="P21" s="96"/>
      <c r="Q21" s="96"/>
      <c r="R21" s="96"/>
      <c r="S21" s="96"/>
      <c r="T21" s="96"/>
      <c r="U21" s="121"/>
    </row>
    <row r="22" spans="1:21" ht="15" thickBot="1" x14ac:dyDescent="0.35">
      <c r="A22" s="93">
        <v>19</v>
      </c>
      <c r="B22" s="94">
        <v>1140</v>
      </c>
      <c r="C22" s="116">
        <v>113</v>
      </c>
      <c r="D22" s="122"/>
      <c r="E22" s="123" t="s">
        <v>86</v>
      </c>
      <c r="F22" s="124"/>
      <c r="G22" s="124"/>
      <c r="H22" s="124"/>
      <c r="I22" s="124"/>
      <c r="J22" s="125"/>
      <c r="L22" s="93">
        <v>19</v>
      </c>
      <c r="M22" s="94">
        <v>1199</v>
      </c>
      <c r="N22" s="93">
        <v>144</v>
      </c>
      <c r="O22" s="122"/>
      <c r="P22" s="123" t="s">
        <v>89</v>
      </c>
      <c r="Q22" s="124"/>
      <c r="R22" s="124"/>
      <c r="S22" s="124"/>
      <c r="T22" s="124"/>
      <c r="U22" s="125"/>
    </row>
    <row r="23" spans="1:21" x14ac:dyDescent="0.3">
      <c r="A23" s="93">
        <v>20</v>
      </c>
      <c r="B23" s="94">
        <v>1019</v>
      </c>
      <c r="C23" s="93">
        <v>128</v>
      </c>
      <c r="D23" s="111"/>
      <c r="F23" s="96"/>
      <c r="G23" s="96"/>
      <c r="H23" s="96"/>
      <c r="I23" s="96"/>
      <c r="J23" s="96"/>
      <c r="L23" s="93">
        <v>20</v>
      </c>
      <c r="M23" s="94">
        <v>1149</v>
      </c>
      <c r="N23" s="93">
        <v>155</v>
      </c>
    </row>
    <row r="24" spans="1:21" x14ac:dyDescent="0.3">
      <c r="A24" s="93">
        <v>21</v>
      </c>
      <c r="B24" s="94">
        <v>999</v>
      </c>
      <c r="C24" s="93">
        <v>139</v>
      </c>
      <c r="D24" s="111"/>
      <c r="E24" s="96"/>
      <c r="F24" s="96"/>
      <c r="G24" s="96"/>
      <c r="H24" s="96"/>
      <c r="I24" s="96"/>
      <c r="J24" s="96"/>
      <c r="L24" s="93">
        <v>21</v>
      </c>
      <c r="M24" s="94">
        <v>1199</v>
      </c>
      <c r="N24" s="93">
        <v>145</v>
      </c>
    </row>
    <row r="25" spans="1:21" x14ac:dyDescent="0.3">
      <c r="A25" s="93">
        <v>22</v>
      </c>
      <c r="B25" s="94">
        <v>912</v>
      </c>
      <c r="C25" s="93">
        <v>142</v>
      </c>
      <c r="D25" s="111"/>
      <c r="E25" s="96"/>
      <c r="F25" s="96"/>
      <c r="G25" s="96"/>
      <c r="H25" s="96"/>
      <c r="I25" s="96"/>
      <c r="J25" s="96"/>
      <c r="L25" s="93">
        <v>22</v>
      </c>
      <c r="M25" s="94">
        <v>1112</v>
      </c>
      <c r="N25" s="93">
        <v>154</v>
      </c>
    </row>
    <row r="26" spans="1:21" x14ac:dyDescent="0.3">
      <c r="A26" s="93">
        <v>23</v>
      </c>
      <c r="B26" s="94">
        <v>1020</v>
      </c>
      <c r="C26" s="93">
        <v>136</v>
      </c>
      <c r="D26" s="111"/>
      <c r="E26" s="96"/>
      <c r="F26" s="96"/>
      <c r="G26" s="96"/>
      <c r="H26" s="96"/>
      <c r="I26" s="96"/>
      <c r="J26" s="96"/>
      <c r="L26" s="93">
        <v>23</v>
      </c>
      <c r="M26" s="94">
        <v>1109</v>
      </c>
      <c r="N26" s="93">
        <v>158</v>
      </c>
    </row>
    <row r="27" spans="1:21" x14ac:dyDescent="0.3">
      <c r="A27" s="93">
        <v>24</v>
      </c>
      <c r="B27" s="94">
        <v>1115</v>
      </c>
      <c r="C27" s="93">
        <v>110</v>
      </c>
      <c r="D27" s="111"/>
      <c r="E27" s="96"/>
      <c r="F27" s="96"/>
      <c r="G27" s="96"/>
      <c r="H27" s="96"/>
      <c r="I27" s="96"/>
      <c r="J27" s="96"/>
      <c r="L27" s="93">
        <v>24</v>
      </c>
      <c r="M27" s="94">
        <v>1115</v>
      </c>
      <c r="N27" s="93">
        <v>159</v>
      </c>
    </row>
    <row r="28" spans="1:21" x14ac:dyDescent="0.3">
      <c r="A28" s="90"/>
      <c r="B28" s="90"/>
    </row>
    <row r="29" spans="1:21" x14ac:dyDescent="0.3">
      <c r="A29" s="90"/>
      <c r="B29" s="90"/>
    </row>
    <row r="30" spans="1:21" x14ac:dyDescent="0.3">
      <c r="A30" s="90"/>
      <c r="B30" s="90"/>
    </row>
    <row r="31" spans="1:21" x14ac:dyDescent="0.3">
      <c r="A31" s="90"/>
      <c r="B31" s="90"/>
    </row>
  </sheetData>
  <printOptions headings="1" gridLines="1"/>
  <pageMargins left="0.75" right="0.75" top="1" bottom="1" header="0.5" footer="0.5"/>
  <pageSetup scale="72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80</v>
      </c>
    </row>
    <row r="3" spans="1:2" x14ac:dyDescent="0.25">
      <c r="A3">
        <v>1</v>
      </c>
    </row>
    <row r="4" spans="1:2" x14ac:dyDescent="0.25">
      <c r="A4">
        <v>10</v>
      </c>
    </row>
    <row r="5" spans="1:2" x14ac:dyDescent="0.25">
      <c r="A5">
        <v>300</v>
      </c>
    </row>
    <row r="6" spans="1:2" x14ac:dyDescent="0.25">
      <c r="A6">
        <v>10</v>
      </c>
    </row>
    <row r="8" spans="1:2" x14ac:dyDescent="0.25">
      <c r="A8" s="23"/>
      <c r="B8" s="23"/>
    </row>
    <row r="9" spans="1:2" x14ac:dyDescent="0.25">
      <c r="A9" t="s">
        <v>82</v>
      </c>
    </row>
    <row r="10" spans="1:2" x14ac:dyDescent="0.25">
      <c r="A10" t="s">
        <v>107</v>
      </c>
    </row>
    <row r="15" spans="1:2" x14ac:dyDescent="0.25">
      <c r="B1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4.4" x14ac:dyDescent="0.3"/>
  <cols>
    <col min="1" max="1" width="30.44140625" style="38" customWidth="1"/>
    <col min="2" max="2" width="53.44140625" style="38" customWidth="1"/>
    <col min="3" max="7" width="8.88671875" style="39"/>
    <col min="8" max="16384" width="8.88671875" style="38"/>
  </cols>
  <sheetData>
    <row r="1" spans="1:6" ht="12.6" customHeight="1" x14ac:dyDescent="0.3">
      <c r="A1" s="62" t="s">
        <v>90</v>
      </c>
    </row>
    <row r="3" spans="1:6" x14ac:dyDescent="0.3">
      <c r="A3" s="41" t="s">
        <v>25</v>
      </c>
      <c r="B3" s="42"/>
      <c r="C3" s="40"/>
      <c r="D3" s="40"/>
      <c r="E3" s="40"/>
      <c r="F3" s="40"/>
    </row>
    <row r="4" spans="1:6" x14ac:dyDescent="0.3">
      <c r="A4" s="42" t="s">
        <v>27</v>
      </c>
      <c r="B4" s="42"/>
      <c r="C4" s="40"/>
      <c r="D4" s="40"/>
      <c r="E4" s="40"/>
      <c r="F4" s="40"/>
    </row>
    <row r="5" spans="1:6" x14ac:dyDescent="0.3">
      <c r="A5" s="42" t="s">
        <v>28</v>
      </c>
      <c r="B5" s="42"/>
      <c r="C5" s="40"/>
      <c r="D5" s="40"/>
      <c r="E5" s="40"/>
      <c r="F5" s="40"/>
    </row>
    <row r="6" spans="1:6" x14ac:dyDescent="0.3">
      <c r="A6" s="42"/>
      <c r="B6" s="42"/>
      <c r="C6" s="40"/>
      <c r="D6" s="40"/>
      <c r="E6" s="40"/>
      <c r="F6" s="40"/>
    </row>
    <row r="7" spans="1:6" x14ac:dyDescent="0.3">
      <c r="A7" s="41" t="s">
        <v>68</v>
      </c>
      <c r="B7" s="42"/>
      <c r="C7" s="40"/>
      <c r="D7" s="40"/>
      <c r="E7" s="40"/>
      <c r="F7" s="40"/>
    </row>
    <row r="8" spans="1:6" x14ac:dyDescent="0.3">
      <c r="A8" s="42" t="s">
        <v>70</v>
      </c>
      <c r="B8" s="42" t="s">
        <v>93</v>
      </c>
      <c r="C8" s="40"/>
      <c r="D8" s="40"/>
      <c r="E8" s="40"/>
      <c r="F8" s="40"/>
    </row>
    <row r="9" spans="1:6" x14ac:dyDescent="0.3">
      <c r="A9" s="42" t="s">
        <v>71</v>
      </c>
      <c r="B9" s="42" t="s">
        <v>94</v>
      </c>
      <c r="C9" s="40"/>
      <c r="D9" s="40"/>
      <c r="E9" s="40"/>
      <c r="F9" s="40"/>
    </row>
    <row r="10" spans="1:6" x14ac:dyDescent="0.3">
      <c r="A10" s="42"/>
      <c r="B10" s="42"/>
      <c r="C10" s="40"/>
      <c r="D10" s="40"/>
      <c r="E10" s="40"/>
      <c r="F10" s="40"/>
    </row>
    <row r="11" spans="1:6" x14ac:dyDescent="0.3">
      <c r="A11" s="41" t="s">
        <v>31</v>
      </c>
      <c r="B11" s="42"/>
      <c r="C11" s="40"/>
      <c r="D11" s="40"/>
      <c r="E11" s="40"/>
      <c r="F11" s="40"/>
    </row>
    <row r="12" spans="1:6" x14ac:dyDescent="0.3">
      <c r="A12" s="42" t="s">
        <v>32</v>
      </c>
      <c r="B12" s="42" t="s">
        <v>115</v>
      </c>
      <c r="C12" s="40"/>
      <c r="D12" s="40"/>
      <c r="E12" s="40"/>
      <c r="F12" s="40"/>
    </row>
    <row r="13" spans="1:6" x14ac:dyDescent="0.3">
      <c r="A13" s="42"/>
      <c r="B13" s="42"/>
      <c r="C13" s="40"/>
      <c r="D13" s="40"/>
      <c r="E13" s="40"/>
      <c r="F13" s="40"/>
    </row>
    <row r="14" spans="1:6" x14ac:dyDescent="0.3">
      <c r="A14" s="41" t="s">
        <v>2</v>
      </c>
      <c r="B14" s="42"/>
      <c r="C14" s="40"/>
      <c r="D14" s="40"/>
      <c r="E14" s="40"/>
      <c r="F14" s="40"/>
    </row>
    <row r="15" spans="1:6" x14ac:dyDescent="0.3">
      <c r="A15" s="6" t="s">
        <v>17</v>
      </c>
      <c r="B15" s="42" t="s">
        <v>91</v>
      </c>
      <c r="C15" s="40"/>
      <c r="D15" s="40"/>
      <c r="E15" s="40"/>
      <c r="F15" s="40"/>
    </row>
    <row r="16" spans="1:6" x14ac:dyDescent="0.3">
      <c r="A16" s="6" t="s">
        <v>18</v>
      </c>
      <c r="B16" s="42" t="s">
        <v>92</v>
      </c>
      <c r="C16" s="40"/>
      <c r="D16" s="40"/>
      <c r="E16" s="40"/>
      <c r="F16" s="40"/>
    </row>
    <row r="17" spans="1:6" x14ac:dyDescent="0.3">
      <c r="A17" s="6" t="s">
        <v>14</v>
      </c>
      <c r="B17" s="42" t="s">
        <v>69</v>
      </c>
      <c r="C17" s="40"/>
      <c r="D17" s="40"/>
      <c r="E17" s="40"/>
      <c r="F17" s="40"/>
    </row>
    <row r="18" spans="1:6" x14ac:dyDescent="0.3">
      <c r="A18" s="6" t="s">
        <v>13</v>
      </c>
      <c r="B18" s="42" t="s">
        <v>95</v>
      </c>
      <c r="C18" s="40"/>
      <c r="D18" s="40"/>
      <c r="E18" s="40"/>
      <c r="F18" s="40"/>
    </row>
    <row r="19" spans="1:6" x14ac:dyDescent="0.3">
      <c r="A19" s="42" t="s">
        <v>51</v>
      </c>
      <c r="B19" s="42" t="s">
        <v>116</v>
      </c>
      <c r="C19" s="40"/>
      <c r="D19" s="40"/>
      <c r="E19" s="40"/>
      <c r="F19" s="40"/>
    </row>
    <row r="20" spans="1:6" x14ac:dyDescent="0.3">
      <c r="A20" s="42" t="s">
        <v>22</v>
      </c>
      <c r="B20" s="42" t="s">
        <v>26</v>
      </c>
      <c r="C20" s="40"/>
      <c r="D20" s="40"/>
      <c r="E20" s="40"/>
      <c r="F20" s="40"/>
    </row>
    <row r="21" spans="1:6" ht="15" thickBot="1" x14ac:dyDescent="0.35"/>
    <row r="22" spans="1:6" x14ac:dyDescent="0.3">
      <c r="A22" s="63" t="s">
        <v>60</v>
      </c>
      <c r="B22" s="64"/>
    </row>
    <row r="23" spans="1:6" x14ac:dyDescent="0.3">
      <c r="A23" s="65" t="s">
        <v>61</v>
      </c>
      <c r="B23" s="66"/>
    </row>
    <row r="24" spans="1:6" ht="15" thickBot="1" x14ac:dyDescent="0.35">
      <c r="A24" s="67" t="s">
        <v>62</v>
      </c>
      <c r="B24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19</v>
      </c>
    </row>
    <row r="3" spans="1:2" x14ac:dyDescent="0.25">
      <c r="A3">
        <v>1</v>
      </c>
    </row>
    <row r="4" spans="1:2" x14ac:dyDescent="0.25">
      <c r="A4">
        <v>1000</v>
      </c>
    </row>
    <row r="5" spans="1:2" x14ac:dyDescent="0.25">
      <c r="A5">
        <v>3000</v>
      </c>
    </row>
    <row r="6" spans="1:2" x14ac:dyDescent="0.25">
      <c r="A6">
        <v>100</v>
      </c>
    </row>
    <row r="8" spans="1:2" x14ac:dyDescent="0.25">
      <c r="A8" s="23"/>
      <c r="B8" s="23"/>
    </row>
    <row r="9" spans="1:2" x14ac:dyDescent="0.25">
      <c r="A9" t="s">
        <v>20</v>
      </c>
    </row>
    <row r="10" spans="1:2" x14ac:dyDescent="0.25">
      <c r="A10" t="s">
        <v>21</v>
      </c>
    </row>
    <row r="15" spans="1:2" x14ac:dyDescent="0.25">
      <c r="B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15</v>
      </c>
    </row>
    <row r="3" spans="1:2" x14ac:dyDescent="0.25">
      <c r="A3">
        <v>1</v>
      </c>
    </row>
    <row r="4" spans="1:2" x14ac:dyDescent="0.25">
      <c r="A4">
        <v>1000</v>
      </c>
    </row>
    <row r="5" spans="1:2" x14ac:dyDescent="0.25">
      <c r="A5">
        <v>4000</v>
      </c>
    </row>
    <row r="6" spans="1:2" x14ac:dyDescent="0.25">
      <c r="A6">
        <v>100</v>
      </c>
    </row>
    <row r="8" spans="1:2" x14ac:dyDescent="0.25">
      <c r="A8" s="23"/>
      <c r="B8" s="23"/>
    </row>
    <row r="9" spans="1:2" x14ac:dyDescent="0.25">
      <c r="A9" t="s">
        <v>16</v>
      </c>
    </row>
    <row r="10" spans="1:2" x14ac:dyDescent="0.25">
      <c r="A10" t="s">
        <v>6</v>
      </c>
    </row>
    <row r="15" spans="1:2" x14ac:dyDescent="0.25">
      <c r="B15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90" zoomScaleNormal="90" workbookViewId="0"/>
  </sheetViews>
  <sheetFormatPr defaultRowHeight="13.2" x14ac:dyDescent="0.25"/>
  <cols>
    <col min="1" max="1" width="44.33203125" customWidth="1"/>
    <col min="2" max="2" width="13.77734375" customWidth="1"/>
    <col min="3" max="3" width="14.77734375" customWidth="1"/>
    <col min="4" max="4" width="9.109375" customWidth="1"/>
    <col min="5" max="5" width="10.77734375" customWidth="1"/>
    <col min="6" max="6" width="11.5546875" customWidth="1"/>
    <col min="7" max="7" width="10.77734375" customWidth="1"/>
    <col min="8" max="8" width="8.6640625" style="14" customWidth="1"/>
    <col min="10" max="10" width="11.21875" customWidth="1"/>
    <col min="11" max="11" width="10.5546875" customWidth="1"/>
    <col min="12" max="12" width="10.109375" customWidth="1"/>
    <col min="13" max="13" width="18.44140625" customWidth="1"/>
  </cols>
  <sheetData>
    <row r="1" spans="1:13" ht="12" customHeight="1" x14ac:dyDescent="0.25">
      <c r="A1" s="43" t="s">
        <v>106</v>
      </c>
      <c r="B1" s="14"/>
      <c r="C1" s="14"/>
      <c r="D1" s="16"/>
      <c r="E1" s="16"/>
      <c r="F1" s="16"/>
      <c r="G1" s="14"/>
    </row>
    <row r="2" spans="1:13" x14ac:dyDescent="0.25">
      <c r="A2" s="14"/>
      <c r="B2" s="14"/>
      <c r="C2" s="14"/>
      <c r="D2" s="14"/>
      <c r="E2" s="14"/>
      <c r="F2" s="14"/>
      <c r="G2" s="14"/>
      <c r="I2" s="45" t="s">
        <v>40</v>
      </c>
    </row>
    <row r="3" spans="1:13" ht="40.200000000000003" customHeight="1" x14ac:dyDescent="0.25">
      <c r="A3" s="17" t="s">
        <v>0</v>
      </c>
      <c r="B3" s="2"/>
      <c r="C3" s="5" t="s">
        <v>11</v>
      </c>
      <c r="D3" s="18" t="s">
        <v>36</v>
      </c>
      <c r="E3" s="18" t="s">
        <v>37</v>
      </c>
      <c r="F3" s="18" t="s">
        <v>38</v>
      </c>
      <c r="G3" s="18" t="s">
        <v>53</v>
      </c>
      <c r="I3" s="46" t="s">
        <v>41</v>
      </c>
      <c r="J3" s="46" t="s">
        <v>42</v>
      </c>
      <c r="K3" s="46" t="s">
        <v>43</v>
      </c>
      <c r="L3" s="46" t="s">
        <v>54</v>
      </c>
      <c r="M3" s="46" t="s">
        <v>44</v>
      </c>
    </row>
    <row r="4" spans="1:13" x14ac:dyDescent="0.25">
      <c r="A4" s="3" t="s">
        <v>7</v>
      </c>
      <c r="B4" s="5"/>
      <c r="C4" s="44">
        <f>294.66-0.1621*C10</f>
        <v>87.719997729492206</v>
      </c>
      <c r="D4" s="19">
        <v>540</v>
      </c>
      <c r="E4" s="19">
        <v>1</v>
      </c>
      <c r="F4" s="19">
        <v>10</v>
      </c>
      <c r="G4" s="19">
        <v>4</v>
      </c>
      <c r="I4" s="34">
        <v>1</v>
      </c>
      <c r="J4" s="5">
        <v>87</v>
      </c>
      <c r="K4" s="5">
        <v>112</v>
      </c>
      <c r="L4" s="48">
        <v>149205.89000000001</v>
      </c>
      <c r="M4" s="5" t="s">
        <v>45</v>
      </c>
    </row>
    <row r="5" spans="1:13" x14ac:dyDescent="0.25">
      <c r="A5" s="3" t="s">
        <v>8</v>
      </c>
      <c r="B5" s="5"/>
      <c r="C5" s="44">
        <f>334.32-0.1586*C11</f>
        <v>112.28</v>
      </c>
      <c r="D5" s="19">
        <v>640</v>
      </c>
      <c r="E5" s="19">
        <v>1</v>
      </c>
      <c r="F5" s="19">
        <v>16</v>
      </c>
      <c r="G5" s="19">
        <v>6</v>
      </c>
      <c r="I5" s="49">
        <v>2</v>
      </c>
      <c r="J5" s="50">
        <v>87</v>
      </c>
      <c r="K5" s="50">
        <v>113</v>
      </c>
      <c r="L5" s="58">
        <v>149965.89000000001</v>
      </c>
      <c r="M5" s="5" t="s">
        <v>45</v>
      </c>
    </row>
    <row r="6" spans="1:13" x14ac:dyDescent="0.25">
      <c r="A6" s="3"/>
      <c r="B6" s="5"/>
      <c r="C6" s="27"/>
      <c r="D6" s="27"/>
      <c r="E6" s="27"/>
      <c r="F6" s="27"/>
      <c r="G6" s="27"/>
      <c r="I6" s="34">
        <v>3</v>
      </c>
      <c r="J6" s="5">
        <v>88</v>
      </c>
      <c r="K6" s="5">
        <v>112</v>
      </c>
      <c r="L6" s="48">
        <v>149942.51</v>
      </c>
      <c r="M6" s="5" t="s">
        <v>45</v>
      </c>
    </row>
    <row r="7" spans="1:13" ht="24.6" customHeight="1" x14ac:dyDescent="0.25">
      <c r="A7" s="3"/>
      <c r="B7" s="5"/>
      <c r="C7" s="27"/>
      <c r="D7" s="27"/>
      <c r="E7" s="27" t="s">
        <v>35</v>
      </c>
      <c r="F7" s="27" t="s">
        <v>34</v>
      </c>
      <c r="G7" s="27" t="s">
        <v>52</v>
      </c>
      <c r="I7" s="34">
        <v>4</v>
      </c>
      <c r="J7" s="5">
        <v>88</v>
      </c>
      <c r="K7" s="5">
        <v>113</v>
      </c>
      <c r="L7" s="48">
        <v>150702.51</v>
      </c>
      <c r="M7" s="47" t="s">
        <v>81</v>
      </c>
    </row>
    <row r="8" spans="1:13" x14ac:dyDescent="0.25">
      <c r="A8" s="3" t="s">
        <v>33</v>
      </c>
      <c r="B8" s="5"/>
      <c r="C8" s="27"/>
      <c r="D8" s="31"/>
      <c r="E8" s="19">
        <v>200</v>
      </c>
      <c r="F8" s="19">
        <v>2700</v>
      </c>
      <c r="G8" s="19">
        <v>1600</v>
      </c>
    </row>
    <row r="9" spans="1:13" ht="26.4" x14ac:dyDescent="0.25">
      <c r="A9" s="3"/>
      <c r="B9" s="5"/>
      <c r="C9" s="26"/>
      <c r="D9" s="28" t="s">
        <v>12</v>
      </c>
      <c r="E9" s="1"/>
      <c r="F9" s="28"/>
      <c r="G9" s="28"/>
      <c r="H9" s="35"/>
    </row>
    <row r="10" spans="1:13" x14ac:dyDescent="0.25">
      <c r="A10" s="3" t="s">
        <v>29</v>
      </c>
      <c r="B10" s="5" t="s">
        <v>9</v>
      </c>
      <c r="C10" s="69">
        <v>1276.619384765625</v>
      </c>
      <c r="D10" s="25">
        <v>1400</v>
      </c>
      <c r="E10" s="1"/>
      <c r="F10" s="28"/>
      <c r="G10" s="28"/>
      <c r="H10" s="35"/>
    </row>
    <row r="11" spans="1:13" x14ac:dyDescent="0.25">
      <c r="A11" s="3" t="s">
        <v>30</v>
      </c>
      <c r="B11" s="5" t="s">
        <v>10</v>
      </c>
      <c r="C11" s="69">
        <v>1400</v>
      </c>
      <c r="D11" s="19">
        <v>1400</v>
      </c>
      <c r="E11" s="1"/>
      <c r="F11" s="27"/>
      <c r="G11" s="27"/>
      <c r="H11" s="36"/>
    </row>
    <row r="12" spans="1:13" x14ac:dyDescent="0.25">
      <c r="A12" s="13"/>
      <c r="B12" s="21"/>
      <c r="C12" s="9"/>
      <c r="D12" s="11"/>
      <c r="E12" s="11"/>
      <c r="F12" s="3"/>
      <c r="G12" s="1"/>
    </row>
    <row r="13" spans="1:13" x14ac:dyDescent="0.25">
      <c r="A13" s="5"/>
      <c r="B13" s="4"/>
      <c r="C13" s="10"/>
      <c r="D13" s="20"/>
      <c r="E13" s="20"/>
      <c r="F13" s="3"/>
      <c r="G13" s="1"/>
    </row>
    <row r="14" spans="1:13" x14ac:dyDescent="0.25">
      <c r="A14" s="17" t="s">
        <v>39</v>
      </c>
      <c r="B14" s="12"/>
      <c r="C14" s="37">
        <f>(C10-D4)*C4+(C11-D5)*C5</f>
        <v>149949.05075914058</v>
      </c>
      <c r="D14" s="15"/>
      <c r="E14" s="15"/>
      <c r="F14" s="1"/>
      <c r="G14" s="1"/>
    </row>
    <row r="15" spans="1:13" x14ac:dyDescent="0.25">
      <c r="A15" s="1"/>
      <c r="B15" s="1"/>
      <c r="C15" s="1"/>
      <c r="D15" s="1"/>
      <c r="E15" s="31"/>
      <c r="F15" s="1"/>
      <c r="G15" s="3"/>
    </row>
    <row r="16" spans="1:13" x14ac:dyDescent="0.25">
      <c r="A16" s="17" t="s">
        <v>2</v>
      </c>
      <c r="B16" s="17" t="s">
        <v>3</v>
      </c>
      <c r="C16" s="17"/>
      <c r="D16" s="17" t="s">
        <v>1</v>
      </c>
      <c r="E16" s="32"/>
      <c r="F16" s="2"/>
      <c r="G16" s="2"/>
    </row>
    <row r="17" spans="1:7" x14ac:dyDescent="0.25">
      <c r="A17" s="6" t="s">
        <v>17</v>
      </c>
      <c r="B17" s="29">
        <f>C10</f>
        <v>1276.619384765625</v>
      </c>
      <c r="C17" s="7" t="s">
        <v>4</v>
      </c>
      <c r="D17" s="22">
        <f>D10</f>
        <v>1400</v>
      </c>
      <c r="E17" s="34"/>
      <c r="F17" s="7"/>
      <c r="G17" s="8"/>
    </row>
    <row r="18" spans="1:7" x14ac:dyDescent="0.25">
      <c r="A18" s="6" t="s">
        <v>18</v>
      </c>
      <c r="B18" s="29">
        <f>C11</f>
        <v>1400</v>
      </c>
      <c r="C18" s="7" t="s">
        <v>4</v>
      </c>
      <c r="D18" s="22">
        <f>D11</f>
        <v>1400</v>
      </c>
      <c r="E18" s="33"/>
      <c r="F18" s="1"/>
      <c r="G18" s="1"/>
    </row>
    <row r="19" spans="1:7" x14ac:dyDescent="0.25">
      <c r="A19" s="6" t="s">
        <v>14</v>
      </c>
      <c r="B19" s="29">
        <f>SUMPRODUCT(E4:E5*C4:C5)</f>
        <v>199.99999772949221</v>
      </c>
      <c r="C19" s="7" t="s">
        <v>4</v>
      </c>
      <c r="D19" s="22">
        <f>E8</f>
        <v>200</v>
      </c>
      <c r="E19" s="33"/>
      <c r="F19" s="1"/>
      <c r="G19" s="1"/>
    </row>
    <row r="20" spans="1:7" x14ac:dyDescent="0.25">
      <c r="A20" s="6" t="s">
        <v>13</v>
      </c>
      <c r="B20" s="29">
        <f>SUMPRODUCT(F4:F5*C4:C5)</f>
        <v>2673.6799772949221</v>
      </c>
      <c r="C20" s="7" t="s">
        <v>4</v>
      </c>
      <c r="D20" s="22">
        <f>F8</f>
        <v>2700</v>
      </c>
      <c r="E20" s="34"/>
      <c r="F20" s="1"/>
      <c r="G20" s="1"/>
    </row>
    <row r="21" spans="1:7" x14ac:dyDescent="0.25">
      <c r="A21" s="30" t="s">
        <v>51</v>
      </c>
      <c r="B21" s="29">
        <f>SUMPRODUCT(G4:G5*C4:C5)</f>
        <v>1024.5599909179689</v>
      </c>
      <c r="C21" s="7" t="s">
        <v>4</v>
      </c>
      <c r="D21" s="22">
        <f>G8</f>
        <v>1600</v>
      </c>
      <c r="E21" s="31"/>
      <c r="F21" s="1"/>
      <c r="G21" s="1"/>
    </row>
    <row r="22" spans="1:7" ht="13.8" thickBot="1" x14ac:dyDescent="0.3"/>
    <row r="23" spans="1:7" x14ac:dyDescent="0.25">
      <c r="A23" s="70" t="s">
        <v>96</v>
      </c>
      <c r="B23" s="71"/>
      <c r="C23" s="71"/>
      <c r="D23" s="71"/>
      <c r="E23" s="71"/>
      <c r="F23" s="71"/>
      <c r="G23" s="72"/>
    </row>
    <row r="24" spans="1:7" x14ac:dyDescent="0.25">
      <c r="A24" s="73" t="s">
        <v>97</v>
      </c>
      <c r="B24" s="14"/>
      <c r="C24" s="14"/>
      <c r="D24" s="14"/>
      <c r="E24" s="14"/>
      <c r="F24" s="14"/>
      <c r="G24" s="74"/>
    </row>
    <row r="25" spans="1:7" x14ac:dyDescent="0.25">
      <c r="A25" s="73" t="s">
        <v>98</v>
      </c>
      <c r="B25" s="14"/>
      <c r="C25" s="14"/>
      <c r="D25" s="14"/>
      <c r="E25" s="14"/>
      <c r="F25" s="14"/>
      <c r="G25" s="74"/>
    </row>
    <row r="26" spans="1:7" x14ac:dyDescent="0.25">
      <c r="A26" s="73" t="s">
        <v>65</v>
      </c>
      <c r="B26" s="14"/>
      <c r="C26" s="14"/>
      <c r="D26" s="14"/>
      <c r="E26" s="14"/>
      <c r="F26" s="14"/>
      <c r="G26" s="74"/>
    </row>
    <row r="27" spans="1:7" x14ac:dyDescent="0.25">
      <c r="A27" s="73" t="s">
        <v>63</v>
      </c>
      <c r="B27" s="14"/>
      <c r="C27" s="14"/>
      <c r="D27" s="14"/>
      <c r="E27" s="14"/>
      <c r="F27" s="14"/>
      <c r="G27" s="74"/>
    </row>
    <row r="28" spans="1:7" x14ac:dyDescent="0.25">
      <c r="A28" s="73" t="s">
        <v>64</v>
      </c>
      <c r="B28" s="14"/>
      <c r="C28" s="14"/>
      <c r="D28" s="14"/>
      <c r="E28" s="14"/>
      <c r="F28" s="14"/>
      <c r="G28" s="74"/>
    </row>
    <row r="29" spans="1:7" x14ac:dyDescent="0.25">
      <c r="A29" s="73" t="s">
        <v>66</v>
      </c>
      <c r="B29" s="14"/>
      <c r="C29" s="14"/>
      <c r="D29" s="14"/>
      <c r="E29" s="14"/>
      <c r="F29" s="14"/>
      <c r="G29" s="74"/>
    </row>
    <row r="30" spans="1:7" x14ac:dyDescent="0.25">
      <c r="A30" s="73" t="s">
        <v>99</v>
      </c>
      <c r="B30" s="14"/>
      <c r="C30" s="14"/>
      <c r="D30" s="14"/>
      <c r="E30" s="14"/>
      <c r="F30" s="14"/>
      <c r="G30" s="74"/>
    </row>
    <row r="31" spans="1:7" ht="13.8" thickBot="1" x14ac:dyDescent="0.3">
      <c r="A31" s="75" t="s">
        <v>100</v>
      </c>
      <c r="B31" s="76"/>
      <c r="C31" s="76"/>
      <c r="D31" s="76"/>
      <c r="E31" s="76"/>
      <c r="F31" s="76"/>
      <c r="G31" s="77"/>
    </row>
    <row r="32" spans="1:7" x14ac:dyDescent="0.25">
      <c r="A32" s="126"/>
      <c r="B32" s="14"/>
      <c r="C32" s="14"/>
      <c r="D32" s="14"/>
      <c r="E32" s="14"/>
      <c r="F32" s="14"/>
      <c r="G32" s="14"/>
    </row>
    <row r="33" spans="1:7" x14ac:dyDescent="0.25">
      <c r="A33" s="14"/>
      <c r="B33" s="14"/>
      <c r="C33" s="14"/>
      <c r="D33" s="14"/>
      <c r="E33" s="14"/>
      <c r="F33" s="14"/>
      <c r="G33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4.4" x14ac:dyDescent="0.3"/>
  <cols>
    <col min="1" max="1" width="34.33203125" style="38" customWidth="1"/>
    <col min="2" max="2" width="15.44140625" style="38" customWidth="1"/>
    <col min="3" max="3" width="11.109375" style="38" customWidth="1"/>
    <col min="4" max="4" width="15" style="38" customWidth="1"/>
    <col min="5" max="16384" width="8.88671875" style="38"/>
  </cols>
  <sheetData>
    <row r="1" spans="1:16" ht="11.4" customHeight="1" x14ac:dyDescent="0.3">
      <c r="A1" s="62" t="s">
        <v>105</v>
      </c>
      <c r="B1" s="51"/>
      <c r="C1" s="51"/>
    </row>
    <row r="3" spans="1:16" x14ac:dyDescent="0.3">
      <c r="A3" s="42"/>
      <c r="B3" s="52" t="s">
        <v>23</v>
      </c>
      <c r="C3" s="52" t="s">
        <v>24</v>
      </c>
      <c r="D3" s="52" t="s">
        <v>50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x14ac:dyDescent="0.3">
      <c r="A4" s="42" t="s">
        <v>46</v>
      </c>
      <c r="B4" s="60">
        <v>1399</v>
      </c>
      <c r="C4" s="60">
        <v>1489</v>
      </c>
      <c r="D4" s="52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42" t="s">
        <v>36</v>
      </c>
      <c r="B5" s="60">
        <v>540</v>
      </c>
      <c r="C5" s="60">
        <v>640</v>
      </c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</row>
    <row r="6" spans="1:16" ht="28.2" customHeight="1" x14ac:dyDescent="0.3">
      <c r="A6" s="54" t="s">
        <v>47</v>
      </c>
      <c r="B6" s="52">
        <v>65</v>
      </c>
      <c r="C6" s="52">
        <v>98</v>
      </c>
      <c r="D6" s="52">
        <f>SUM(B6:C6)</f>
        <v>163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</row>
    <row r="7" spans="1:16" x14ac:dyDescent="0.3">
      <c r="A7" s="42" t="s">
        <v>48</v>
      </c>
      <c r="B7" s="57">
        <f>(B4-B5)*B6</f>
        <v>55835</v>
      </c>
      <c r="C7" s="57">
        <f>(C4-C5)*C6</f>
        <v>83202</v>
      </c>
      <c r="D7" s="57">
        <f>SUM(B7:C7)</f>
        <v>139037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6" ht="14.4" customHeight="1" x14ac:dyDescent="0.3">
      <c r="A8" s="54" t="s">
        <v>103</v>
      </c>
      <c r="B8" s="55"/>
      <c r="C8" s="56"/>
      <c r="D8" s="57">
        <f>Q3_solution!$L$5</f>
        <v>149965.89000000001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</row>
    <row r="9" spans="1:16" x14ac:dyDescent="0.3">
      <c r="A9" s="42" t="s">
        <v>49</v>
      </c>
      <c r="B9" s="55"/>
      <c r="C9" s="52"/>
      <c r="D9" s="59">
        <f>D8-D7</f>
        <v>10928.890000000014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5" thickBot="1" x14ac:dyDescent="0.3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16" x14ac:dyDescent="0.3">
      <c r="A11" s="78" t="s">
        <v>67</v>
      </c>
      <c r="B11" s="79"/>
      <c r="C11" s="79"/>
      <c r="D11" s="80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</row>
    <row r="12" spans="1:16" x14ac:dyDescent="0.3">
      <c r="A12" s="81" t="s">
        <v>101</v>
      </c>
      <c r="B12" s="82"/>
      <c r="C12" s="82"/>
      <c r="D12" s="8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</row>
    <row r="13" spans="1:16" x14ac:dyDescent="0.3">
      <c r="A13" s="65" t="s">
        <v>102</v>
      </c>
      <c r="B13" s="40"/>
      <c r="C13" s="40"/>
      <c r="D13" s="66"/>
    </row>
    <row r="14" spans="1:16" ht="15" thickBot="1" x14ac:dyDescent="0.35">
      <c r="A14" s="67" t="s">
        <v>104</v>
      </c>
      <c r="B14" s="84"/>
      <c r="C14" s="84"/>
      <c r="D14" s="6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3.2" x14ac:dyDescent="0.25"/>
  <sheetData>
    <row r="1" spans="1:2" x14ac:dyDescent="0.25">
      <c r="A1">
        <v>1</v>
      </c>
      <c r="B1">
        <v>1</v>
      </c>
    </row>
    <row r="2" spans="1:2" x14ac:dyDescent="0.25">
      <c r="A2" t="s">
        <v>74</v>
      </c>
      <c r="B2" t="s">
        <v>74</v>
      </c>
    </row>
    <row r="3" spans="1:2" x14ac:dyDescent="0.25">
      <c r="A3">
        <v>1</v>
      </c>
      <c r="B3">
        <v>1</v>
      </c>
    </row>
    <row r="4" spans="1:2" x14ac:dyDescent="0.25">
      <c r="A4">
        <v>500</v>
      </c>
      <c r="B4">
        <v>1000</v>
      </c>
    </row>
    <row r="5" spans="1:2" x14ac:dyDescent="0.25">
      <c r="A5">
        <v>3500</v>
      </c>
      <c r="B5">
        <v>2000</v>
      </c>
    </row>
    <row r="6" spans="1:2" x14ac:dyDescent="0.25">
      <c r="A6">
        <v>200</v>
      </c>
      <c r="B6">
        <v>100</v>
      </c>
    </row>
    <row r="8" spans="1:2" x14ac:dyDescent="0.25">
      <c r="A8" s="23"/>
      <c r="B8" s="23" t="s">
        <v>75</v>
      </c>
    </row>
    <row r="9" spans="1:2" x14ac:dyDescent="0.25">
      <c r="A9" t="s">
        <v>55</v>
      </c>
      <c r="B9" t="s">
        <v>76</v>
      </c>
    </row>
    <row r="10" spans="1:2" x14ac:dyDescent="0.25">
      <c r="A10" t="s">
        <v>59</v>
      </c>
      <c r="B10">
        <v>1</v>
      </c>
    </row>
    <row r="11" spans="1:2" x14ac:dyDescent="0.25">
      <c r="B11">
        <v>1000</v>
      </c>
    </row>
    <row r="12" spans="1:2" x14ac:dyDescent="0.25">
      <c r="B12">
        <v>2000</v>
      </c>
    </row>
    <row r="13" spans="1:2" x14ac:dyDescent="0.25">
      <c r="B13">
        <v>100</v>
      </c>
    </row>
    <row r="15" spans="1:2" x14ac:dyDescent="0.25">
      <c r="B15" s="23" t="s">
        <v>75</v>
      </c>
    </row>
    <row r="16" spans="1:2" x14ac:dyDescent="0.25">
      <c r="B1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defaultRowHeight="13.2" x14ac:dyDescent="0.25"/>
  <cols>
    <col min="6" max="6" width="12.109375" bestFit="1" customWidth="1"/>
    <col min="15" max="15" width="2.6640625" customWidth="1"/>
  </cols>
  <sheetData>
    <row r="1" spans="1:16" x14ac:dyDescent="0.25">
      <c r="A1" s="61" t="s">
        <v>109</v>
      </c>
      <c r="P1" s="24" t="str">
        <f>CONCATENATE("Sensitivity of ",$P$4," to ","Availalbe number of pumps")</f>
        <v>Sensitivity of $C$10 to Availalbe number of pumps</v>
      </c>
    </row>
    <row r="3" spans="1:16" x14ac:dyDescent="0.25">
      <c r="A3" t="s">
        <v>108</v>
      </c>
      <c r="P3" t="s">
        <v>5</v>
      </c>
    </row>
    <row r="4" spans="1:16" ht="34.200000000000003" x14ac:dyDescent="0.25">
      <c r="B4" s="99" t="s">
        <v>56</v>
      </c>
      <c r="C4" s="99" t="s">
        <v>57</v>
      </c>
      <c r="D4" s="99" t="s">
        <v>83</v>
      </c>
      <c r="E4" s="99" t="s">
        <v>84</v>
      </c>
      <c r="F4" s="99" t="s">
        <v>58</v>
      </c>
      <c r="O4" s="24">
        <f>MATCH($P$4,OutputAddresses,0)</f>
        <v>1</v>
      </c>
      <c r="P4" s="100" t="s">
        <v>56</v>
      </c>
    </row>
    <row r="5" spans="1:16" x14ac:dyDescent="0.25">
      <c r="A5" s="98">
        <v>10</v>
      </c>
      <c r="B5" s="110">
        <v>0</v>
      </c>
      <c r="C5" s="108">
        <v>0</v>
      </c>
      <c r="D5" s="112">
        <v>294.66000000000003</v>
      </c>
      <c r="E5" s="112">
        <v>334.32</v>
      </c>
      <c r="F5" s="109">
        <v>-373081.2</v>
      </c>
      <c r="P5">
        <f>INDEX(OutputValues,1,$O$4)</f>
        <v>0</v>
      </c>
    </row>
    <row r="6" spans="1:16" x14ac:dyDescent="0.25">
      <c r="A6" s="98">
        <v>20</v>
      </c>
      <c r="B6" s="101">
        <v>0</v>
      </c>
      <c r="C6" s="102">
        <v>0</v>
      </c>
      <c r="D6" s="113">
        <v>294.66000000000003</v>
      </c>
      <c r="E6" s="113">
        <v>334.32</v>
      </c>
      <c r="F6" s="103">
        <v>-373081.2</v>
      </c>
      <c r="P6">
        <f>INDEX(OutputValues,2,$O$4)</f>
        <v>0</v>
      </c>
    </row>
    <row r="7" spans="1:16" x14ac:dyDescent="0.25">
      <c r="A7" s="98">
        <v>30</v>
      </c>
      <c r="B7" s="101">
        <v>0</v>
      </c>
      <c r="C7" s="102">
        <v>0</v>
      </c>
      <c r="D7" s="113">
        <v>294.66000000000003</v>
      </c>
      <c r="E7" s="113">
        <v>334.32</v>
      </c>
      <c r="F7" s="103">
        <v>-373081.2</v>
      </c>
      <c r="P7">
        <f>INDEX(OutputValues,3,$O$4)</f>
        <v>0</v>
      </c>
    </row>
    <row r="8" spans="1:16" x14ac:dyDescent="0.25">
      <c r="A8" s="98">
        <v>40</v>
      </c>
      <c r="B8" s="101">
        <v>0</v>
      </c>
      <c r="C8" s="102">
        <v>0</v>
      </c>
      <c r="D8" s="113">
        <v>294.66000000000003</v>
      </c>
      <c r="E8" s="113">
        <v>334.32</v>
      </c>
      <c r="F8" s="103">
        <v>-373081.2</v>
      </c>
      <c r="P8">
        <f>INDEX(OutputValues,4,$O$4)</f>
        <v>0</v>
      </c>
    </row>
    <row r="9" spans="1:16" x14ac:dyDescent="0.25">
      <c r="A9" s="98">
        <v>50</v>
      </c>
      <c r="B9" s="101">
        <v>0</v>
      </c>
      <c r="C9" s="102">
        <v>0</v>
      </c>
      <c r="D9" s="113">
        <v>294.66000000000003</v>
      </c>
      <c r="E9" s="113">
        <v>334.32</v>
      </c>
      <c r="F9" s="103">
        <v>-373081.2</v>
      </c>
      <c r="P9">
        <f>INDEX(OutputValues,5,$O$4)</f>
        <v>0</v>
      </c>
    </row>
    <row r="10" spans="1:16" x14ac:dyDescent="0.25">
      <c r="A10" s="98">
        <v>60</v>
      </c>
      <c r="B10" s="101">
        <v>0</v>
      </c>
      <c r="C10" s="102">
        <v>0</v>
      </c>
      <c r="D10" s="113">
        <v>294.66000000000003</v>
      </c>
      <c r="E10" s="113">
        <v>334.32</v>
      </c>
      <c r="F10" s="103">
        <v>-373081.2</v>
      </c>
      <c r="P10">
        <f>INDEX(OutputValues,6,$O$4)</f>
        <v>0</v>
      </c>
    </row>
    <row r="11" spans="1:16" x14ac:dyDescent="0.25">
      <c r="A11" s="98">
        <v>70</v>
      </c>
      <c r="B11" s="101">
        <v>0</v>
      </c>
      <c r="C11" s="102">
        <v>0</v>
      </c>
      <c r="D11" s="113">
        <v>294.66000000000003</v>
      </c>
      <c r="E11" s="113">
        <v>334.32</v>
      </c>
      <c r="F11" s="103">
        <v>-373081.2</v>
      </c>
      <c r="P11">
        <f>INDEX(OutputValues,7,$O$4)</f>
        <v>0</v>
      </c>
    </row>
    <row r="12" spans="1:16" x14ac:dyDescent="0.25">
      <c r="A12" s="98">
        <v>80</v>
      </c>
      <c r="B12" s="101">
        <v>0</v>
      </c>
      <c r="C12" s="102">
        <v>0</v>
      </c>
      <c r="D12" s="113">
        <v>294.66000000000003</v>
      </c>
      <c r="E12" s="113">
        <v>334.32</v>
      </c>
      <c r="F12" s="103">
        <v>-373081.2</v>
      </c>
      <c r="P12">
        <f>INDEX(OutputValues,8,$O$4)</f>
        <v>0</v>
      </c>
    </row>
    <row r="13" spans="1:16" x14ac:dyDescent="0.25">
      <c r="A13" s="98">
        <v>90</v>
      </c>
      <c r="B13" s="101">
        <v>0</v>
      </c>
      <c r="C13" s="102">
        <v>0</v>
      </c>
      <c r="D13" s="113">
        <v>294.66000000000003</v>
      </c>
      <c r="E13" s="113">
        <v>334.32</v>
      </c>
      <c r="F13" s="103">
        <v>-373081.2</v>
      </c>
      <c r="P13">
        <f>INDEX(OutputValues,9,$O$4)</f>
        <v>0</v>
      </c>
    </row>
    <row r="14" spans="1:16" x14ac:dyDescent="0.25">
      <c r="A14" s="98">
        <v>100</v>
      </c>
      <c r="B14" s="101">
        <v>0</v>
      </c>
      <c r="C14" s="102">
        <v>0</v>
      </c>
      <c r="D14" s="113">
        <v>294.66000000000003</v>
      </c>
      <c r="E14" s="113">
        <v>334.32</v>
      </c>
      <c r="F14" s="103">
        <v>-373081.2</v>
      </c>
      <c r="P14">
        <f>INDEX(OutputValues,10,$O$4)</f>
        <v>0</v>
      </c>
    </row>
    <row r="15" spans="1:16" x14ac:dyDescent="0.25">
      <c r="A15" s="98">
        <v>110</v>
      </c>
      <c r="B15" s="101">
        <v>0</v>
      </c>
      <c r="C15" s="102">
        <v>0</v>
      </c>
      <c r="D15" s="113">
        <v>294.66000000000003</v>
      </c>
      <c r="E15" s="113">
        <v>334.32</v>
      </c>
      <c r="F15" s="103">
        <v>-373081.2</v>
      </c>
      <c r="P15">
        <f>INDEX(OutputValues,11,$O$4)</f>
        <v>0</v>
      </c>
    </row>
    <row r="16" spans="1:16" x14ac:dyDescent="0.25">
      <c r="A16" s="98">
        <v>120</v>
      </c>
      <c r="B16" s="101">
        <v>0</v>
      </c>
      <c r="C16" s="102">
        <v>0</v>
      </c>
      <c r="D16" s="113">
        <v>294.66000000000003</v>
      </c>
      <c r="E16" s="113">
        <v>334.32</v>
      </c>
      <c r="F16" s="103">
        <v>-373081.2</v>
      </c>
      <c r="P16">
        <f>INDEX(OutputValues,12,$O$4)</f>
        <v>0</v>
      </c>
    </row>
    <row r="17" spans="1:16" x14ac:dyDescent="0.25">
      <c r="A17" s="98">
        <v>130</v>
      </c>
      <c r="B17" s="101">
        <v>0</v>
      </c>
      <c r="C17" s="102">
        <v>0</v>
      </c>
      <c r="D17" s="113">
        <v>294.66000000000003</v>
      </c>
      <c r="E17" s="113">
        <v>334.32</v>
      </c>
      <c r="F17" s="103">
        <v>-373081.2</v>
      </c>
      <c r="P17">
        <f>INDEX(OutputValues,13,$O$4)</f>
        <v>0</v>
      </c>
    </row>
    <row r="18" spans="1:16" x14ac:dyDescent="0.25">
      <c r="A18" s="98">
        <v>140</v>
      </c>
      <c r="B18" s="101">
        <v>0</v>
      </c>
      <c r="C18" s="102">
        <v>0</v>
      </c>
      <c r="D18" s="113">
        <v>294.66000000000003</v>
      </c>
      <c r="E18" s="113">
        <v>334.32</v>
      </c>
      <c r="F18" s="103">
        <v>-373081.2</v>
      </c>
      <c r="P18">
        <f>INDEX(OutputValues,14,$O$4)</f>
        <v>0</v>
      </c>
    </row>
    <row r="19" spans="1:16" x14ac:dyDescent="0.25">
      <c r="A19" s="98">
        <v>150</v>
      </c>
      <c r="B19" s="101">
        <v>0</v>
      </c>
      <c r="C19" s="102">
        <v>0</v>
      </c>
      <c r="D19" s="113">
        <v>294.66000000000003</v>
      </c>
      <c r="E19" s="113">
        <v>334.32</v>
      </c>
      <c r="F19" s="103">
        <v>-373081.2</v>
      </c>
      <c r="P19">
        <f>INDEX(OutputValues,15,$O$4)</f>
        <v>0</v>
      </c>
    </row>
    <row r="20" spans="1:16" x14ac:dyDescent="0.25">
      <c r="A20" s="98">
        <v>160</v>
      </c>
      <c r="B20" s="101">
        <v>0</v>
      </c>
      <c r="C20" s="102">
        <v>0</v>
      </c>
      <c r="D20" s="113">
        <v>294.66000000000003</v>
      </c>
      <c r="E20" s="113">
        <v>334.32</v>
      </c>
      <c r="F20" s="103">
        <v>-373081.2</v>
      </c>
      <c r="P20">
        <f>INDEX(OutputValues,16,$O$4)</f>
        <v>0</v>
      </c>
    </row>
    <row r="21" spans="1:16" x14ac:dyDescent="0.25">
      <c r="A21" s="98">
        <v>170</v>
      </c>
      <c r="B21" s="101">
        <v>0</v>
      </c>
      <c r="C21" s="102">
        <v>0</v>
      </c>
      <c r="D21" s="113">
        <v>294.66000000000003</v>
      </c>
      <c r="E21" s="113">
        <v>334.32</v>
      </c>
      <c r="F21" s="103">
        <v>-373081.2</v>
      </c>
      <c r="P21">
        <f>INDEX(OutputValues,17,$O$4)</f>
        <v>0</v>
      </c>
    </row>
    <row r="22" spans="1:16" x14ac:dyDescent="0.25">
      <c r="A22" s="98">
        <v>180</v>
      </c>
      <c r="B22" s="101">
        <v>1400.0001523607705</v>
      </c>
      <c r="C22" s="102">
        <v>1399.9998442769177</v>
      </c>
      <c r="D22" s="113">
        <v>67.719975302319142</v>
      </c>
      <c r="E22" s="113">
        <v>112.28002469768086</v>
      </c>
      <c r="F22" s="103">
        <v>143571.990363508</v>
      </c>
      <c r="P22">
        <f>INDEX(OutputValues,18,$O$4)</f>
        <v>1400.0001523607705</v>
      </c>
    </row>
    <row r="23" spans="1:16" ht="13.8" thickBot="1" x14ac:dyDescent="0.3">
      <c r="A23" s="98">
        <v>190</v>
      </c>
      <c r="B23" s="101">
        <v>1338.3096853793957</v>
      </c>
      <c r="C23" s="102">
        <v>1400</v>
      </c>
      <c r="D23" s="113">
        <v>77.72</v>
      </c>
      <c r="E23" s="113">
        <v>112.28</v>
      </c>
      <c r="F23" s="103">
        <v>147377.42874768662</v>
      </c>
      <c r="P23">
        <f>INDEX(OutputValues,19,$O$4)</f>
        <v>1338.3096853793957</v>
      </c>
    </row>
    <row r="24" spans="1:16" x14ac:dyDescent="0.25">
      <c r="A24" s="98">
        <v>200</v>
      </c>
      <c r="B24" s="101">
        <v>1276.619384765625</v>
      </c>
      <c r="C24" s="102">
        <v>1400</v>
      </c>
      <c r="D24" s="113">
        <v>87.719997729492206</v>
      </c>
      <c r="E24" s="113">
        <v>112.28</v>
      </c>
      <c r="F24" s="107">
        <v>149949.05075914058</v>
      </c>
      <c r="G24" s="85" t="s">
        <v>110</v>
      </c>
      <c r="H24" s="86"/>
      <c r="I24" s="86"/>
      <c r="J24" s="86"/>
      <c r="K24" s="86"/>
      <c r="L24" s="86"/>
      <c r="M24" s="86"/>
      <c r="N24" s="127"/>
      <c r="P24">
        <f>INDEX(OutputValues,20,$O$4)</f>
        <v>1276.619384765625</v>
      </c>
    </row>
    <row r="25" spans="1:16" x14ac:dyDescent="0.25">
      <c r="A25" s="98">
        <v>210</v>
      </c>
      <c r="B25" s="101">
        <v>1260.3824799506481</v>
      </c>
      <c r="C25" s="102">
        <v>1400</v>
      </c>
      <c r="D25" s="113">
        <v>90.351999999999975</v>
      </c>
      <c r="E25" s="113">
        <v>112.28</v>
      </c>
      <c r="F25" s="107">
        <v>150420.79782850094</v>
      </c>
      <c r="G25" s="87" t="s">
        <v>111</v>
      </c>
      <c r="H25" s="16"/>
      <c r="I25" s="16"/>
      <c r="J25" s="16"/>
      <c r="K25" s="16"/>
      <c r="L25" s="16"/>
      <c r="M25" s="16"/>
      <c r="N25" s="128"/>
      <c r="P25">
        <f>INDEX(OutputValues,21,$O$4)</f>
        <v>1260.3824799506481</v>
      </c>
    </row>
    <row r="26" spans="1:16" x14ac:dyDescent="0.25">
      <c r="A26" s="98">
        <v>220</v>
      </c>
      <c r="B26" s="101">
        <v>1260.3824799506481</v>
      </c>
      <c r="C26" s="102">
        <v>1400</v>
      </c>
      <c r="D26" s="113">
        <v>90.351999999999975</v>
      </c>
      <c r="E26" s="113">
        <v>112.28</v>
      </c>
      <c r="F26" s="107">
        <v>150420.79782850094</v>
      </c>
      <c r="G26" s="87" t="s">
        <v>112</v>
      </c>
      <c r="H26" s="16"/>
      <c r="I26" s="16"/>
      <c r="J26" s="16"/>
      <c r="K26" s="16"/>
      <c r="L26" s="16"/>
      <c r="M26" s="16"/>
      <c r="N26" s="128"/>
      <c r="P26">
        <f>INDEX(OutputValues,22,$O$4)</f>
        <v>1260.3824799506481</v>
      </c>
    </row>
    <row r="27" spans="1:16" x14ac:dyDescent="0.25">
      <c r="A27" s="98">
        <v>230</v>
      </c>
      <c r="B27" s="101">
        <v>1260.3824799506481</v>
      </c>
      <c r="C27" s="102">
        <v>1400</v>
      </c>
      <c r="D27" s="113">
        <v>90.351999999999975</v>
      </c>
      <c r="E27" s="113">
        <v>112.28</v>
      </c>
      <c r="F27" s="107">
        <v>150420.79782850094</v>
      </c>
      <c r="G27" s="87" t="s">
        <v>113</v>
      </c>
      <c r="H27" s="16"/>
      <c r="I27" s="16"/>
      <c r="J27" s="16"/>
      <c r="K27" s="16"/>
      <c r="L27" s="16"/>
      <c r="M27" s="16"/>
      <c r="N27" s="128"/>
      <c r="P27">
        <f>INDEX(OutputValues,23,$O$4)</f>
        <v>1260.3824799506481</v>
      </c>
    </row>
    <row r="28" spans="1:16" ht="13.8" thickBot="1" x14ac:dyDescent="0.3">
      <c r="A28" s="98">
        <v>240</v>
      </c>
      <c r="B28" s="101">
        <v>1260.3824799506481</v>
      </c>
      <c r="C28" s="102">
        <v>1400</v>
      </c>
      <c r="D28" s="113">
        <v>90.351999999999975</v>
      </c>
      <c r="E28" s="113">
        <v>112.28</v>
      </c>
      <c r="F28" s="107">
        <v>150420.79782850094</v>
      </c>
      <c r="G28" s="88" t="s">
        <v>114</v>
      </c>
      <c r="H28" s="89"/>
      <c r="I28" s="89"/>
      <c r="J28" s="89"/>
      <c r="K28" s="89"/>
      <c r="L28" s="89"/>
      <c r="M28" s="89"/>
      <c r="N28" s="129"/>
      <c r="P28">
        <f>INDEX(OutputValues,24,$O$4)</f>
        <v>1260.3824799506481</v>
      </c>
    </row>
    <row r="29" spans="1:16" x14ac:dyDescent="0.25">
      <c r="A29" s="98">
        <v>250</v>
      </c>
      <c r="B29" s="101">
        <v>1260.3824799506481</v>
      </c>
      <c r="C29" s="102">
        <v>1400</v>
      </c>
      <c r="D29" s="113">
        <v>90.351999999999975</v>
      </c>
      <c r="E29" s="113">
        <v>112.28</v>
      </c>
      <c r="F29" s="103">
        <v>150420.79782850094</v>
      </c>
      <c r="G29" s="97"/>
      <c r="H29" s="97"/>
      <c r="I29" s="97"/>
      <c r="J29" s="97"/>
      <c r="K29" s="97"/>
      <c r="L29" s="97"/>
      <c r="M29" s="97"/>
      <c r="N29" s="97"/>
      <c r="P29">
        <f>INDEX(OutputValues,25,$O$4)</f>
        <v>1260.3824799506481</v>
      </c>
    </row>
    <row r="30" spans="1:16" x14ac:dyDescent="0.25">
      <c r="A30" s="98">
        <v>260</v>
      </c>
      <c r="B30" s="101">
        <v>1260.3824799506481</v>
      </c>
      <c r="C30" s="102">
        <v>1400</v>
      </c>
      <c r="D30" s="113">
        <v>90.351999999999975</v>
      </c>
      <c r="E30" s="113">
        <v>112.28</v>
      </c>
      <c r="F30" s="103">
        <v>150420.79782850094</v>
      </c>
      <c r="G30" s="97"/>
      <c r="H30" s="97"/>
      <c r="I30" s="97"/>
      <c r="J30" s="97"/>
      <c r="K30" s="97"/>
      <c r="L30" s="97"/>
      <c r="M30" s="97"/>
      <c r="N30" s="97"/>
      <c r="P30">
        <f>INDEX(OutputValues,26,$O$4)</f>
        <v>1260.3824799506481</v>
      </c>
    </row>
    <row r="31" spans="1:16" x14ac:dyDescent="0.25">
      <c r="A31" s="98">
        <v>270</v>
      </c>
      <c r="B31" s="101">
        <v>1260.3824799506481</v>
      </c>
      <c r="C31" s="102">
        <v>1400</v>
      </c>
      <c r="D31" s="113">
        <v>90.351999999999975</v>
      </c>
      <c r="E31" s="113">
        <v>112.28</v>
      </c>
      <c r="F31" s="103">
        <v>150420.79782850094</v>
      </c>
      <c r="P31">
        <f>INDEX(OutputValues,27,$O$4)</f>
        <v>1260.3824799506481</v>
      </c>
    </row>
    <row r="32" spans="1:16" x14ac:dyDescent="0.25">
      <c r="A32" s="98">
        <v>280</v>
      </c>
      <c r="B32" s="101">
        <v>1260.3824799506481</v>
      </c>
      <c r="C32" s="102">
        <v>1400</v>
      </c>
      <c r="D32" s="113">
        <v>90.351999999999975</v>
      </c>
      <c r="E32" s="113">
        <v>112.28</v>
      </c>
      <c r="F32" s="103">
        <v>150420.79782850094</v>
      </c>
      <c r="P32">
        <f>INDEX(OutputValues,28,$O$4)</f>
        <v>1260.3824799506481</v>
      </c>
    </row>
    <row r="33" spans="1:16" x14ac:dyDescent="0.25">
      <c r="A33" s="98">
        <v>290</v>
      </c>
      <c r="B33" s="101">
        <v>1260.3824799506481</v>
      </c>
      <c r="C33" s="102">
        <v>1400</v>
      </c>
      <c r="D33" s="113">
        <v>90.351999999999975</v>
      </c>
      <c r="E33" s="113">
        <v>112.28</v>
      </c>
      <c r="F33" s="103">
        <v>150420.79782850094</v>
      </c>
      <c r="P33">
        <f>INDEX(OutputValues,29,$O$4)</f>
        <v>1260.3824799506481</v>
      </c>
    </row>
    <row r="34" spans="1:16" x14ac:dyDescent="0.25">
      <c r="A34" s="98">
        <v>300</v>
      </c>
      <c r="B34" s="104">
        <v>1260.3824799506481</v>
      </c>
      <c r="C34" s="105">
        <v>1400</v>
      </c>
      <c r="D34" s="114">
        <v>90.351999999999975</v>
      </c>
      <c r="E34" s="114">
        <v>112.28</v>
      </c>
      <c r="F34" s="106">
        <v>150420.79782850094</v>
      </c>
      <c r="P34">
        <f>INDEX(OutputValues,30,$O$4)</f>
        <v>1260.3824799506481</v>
      </c>
    </row>
  </sheetData>
  <dataValidations count="1">
    <dataValidation type="list" allowBlank="1" showInputMessage="1" showErrorMessage="1" sqref="P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3.2" x14ac:dyDescent="0.25"/>
  <sheetData>
    <row r="1" spans="1:2" x14ac:dyDescent="0.25">
      <c r="A1">
        <v>1</v>
      </c>
      <c r="B1">
        <v>1</v>
      </c>
    </row>
    <row r="2" spans="1:2" x14ac:dyDescent="0.25">
      <c r="A2" t="s">
        <v>80</v>
      </c>
      <c r="B2" t="s">
        <v>74</v>
      </c>
    </row>
    <row r="3" spans="1:2" x14ac:dyDescent="0.25">
      <c r="A3">
        <v>1</v>
      </c>
      <c r="B3">
        <v>1</v>
      </c>
    </row>
    <row r="4" spans="1:2" x14ac:dyDescent="0.25">
      <c r="A4">
        <v>100</v>
      </c>
      <c r="B4">
        <v>500</v>
      </c>
    </row>
    <row r="5" spans="1:2" x14ac:dyDescent="0.25">
      <c r="A5">
        <v>350</v>
      </c>
      <c r="B5">
        <v>2000</v>
      </c>
    </row>
    <row r="6" spans="1:2" x14ac:dyDescent="0.25">
      <c r="A6">
        <v>10</v>
      </c>
      <c r="B6">
        <v>50</v>
      </c>
    </row>
    <row r="8" spans="1:2" x14ac:dyDescent="0.25">
      <c r="A8" s="23"/>
      <c r="B8" s="23" t="s">
        <v>75</v>
      </c>
    </row>
    <row r="9" spans="1:2" x14ac:dyDescent="0.25">
      <c r="A9" t="s">
        <v>77</v>
      </c>
      <c r="B9" t="s">
        <v>76</v>
      </c>
    </row>
    <row r="10" spans="1:2" x14ac:dyDescent="0.25">
      <c r="A10" t="s">
        <v>21</v>
      </c>
      <c r="B10">
        <v>1</v>
      </c>
    </row>
    <row r="11" spans="1:2" x14ac:dyDescent="0.25">
      <c r="B11">
        <v>500</v>
      </c>
    </row>
    <row r="12" spans="1:2" x14ac:dyDescent="0.25">
      <c r="B12">
        <v>2000</v>
      </c>
    </row>
    <row r="13" spans="1:2" x14ac:dyDescent="0.25">
      <c r="B13">
        <v>50</v>
      </c>
    </row>
    <row r="15" spans="1:2" x14ac:dyDescent="0.25">
      <c r="B15" s="23" t="s">
        <v>75</v>
      </c>
    </row>
    <row r="16" spans="1:2" x14ac:dyDescent="0.25">
      <c r="B16" t="s">
        <v>82</v>
      </c>
    </row>
    <row r="17" spans="2:2" x14ac:dyDescent="0.25">
      <c r="B17" t="s">
        <v>78</v>
      </c>
    </row>
    <row r="18" spans="2:2" x14ac:dyDescent="0.25">
      <c r="B1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Q1_demand</vt:lpstr>
      <vt:lpstr>Q2_model</vt:lpstr>
      <vt:lpstr>Q3_solution</vt:lpstr>
      <vt:lpstr>Q4_comparison</vt:lpstr>
      <vt:lpstr>Q5_sensitivity_analysis</vt:lpstr>
      <vt:lpstr>Q5_sensitivity_analysis!ChartData</vt:lpstr>
      <vt:lpstr>Q5_sensitivity_analysis!InputValues</vt:lpstr>
      <vt:lpstr>Q5_sensitivity_analysis!OutputAddresses</vt:lpstr>
      <vt:lpstr>Q5_sensitivity_analysis!OutputValues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Z.D.R.</dc:creator>
  <cp:lastModifiedBy>Zinovy Radovilsky</cp:lastModifiedBy>
  <dcterms:created xsi:type="dcterms:W3CDTF">2002-07-12T05:36:18Z</dcterms:created>
  <dcterms:modified xsi:type="dcterms:W3CDTF">2018-02-13T06:15:55Z</dcterms:modified>
</cp:coreProperties>
</file>