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GitHub\Planetary Clock\"/>
    </mc:Choice>
  </mc:AlternateContent>
  <bookViews>
    <workbookView xWindow="60" yWindow="-60" windowWidth="8976" windowHeight="2568"/>
  </bookViews>
  <sheets>
    <sheet name="actual gear design" sheetId="2" r:id="rId1"/>
  </sheets>
  <definedNames>
    <definedName name="Dpitch">'actual gear design'!$C$16</definedName>
    <definedName name="Dpitch2">'actual gear design'!$C$58</definedName>
    <definedName name="hRatio">'actual gear design'!$C$37</definedName>
    <definedName name="hRatio2">'actual gear design'!$C$79</definedName>
    <definedName name="Nplanet">'actual gear design'!$F$31</definedName>
    <definedName name="Nplanet2">'actual gear design'!$F$73</definedName>
    <definedName name="Nring">'actual gear design'!$F$33</definedName>
    <definedName name="Nring2">'actual gear design'!$F$75</definedName>
    <definedName name="Nsun">'actual gear design'!$F$30</definedName>
    <definedName name="Nsun2">'actual gear design'!$F$72</definedName>
    <definedName name="Ratio">'actual gear design'!$C$13</definedName>
    <definedName name="Ratio2">'actual gear design'!$C$55</definedName>
    <definedName name="Rplanet">'actual gear design'!$G$31</definedName>
    <definedName name="Rplanet2">'actual gear design'!$G$73</definedName>
    <definedName name="Rring">'actual gear design'!$G$33</definedName>
    <definedName name="Rring2">'actual gear design'!$G$75</definedName>
    <definedName name="Rsun">'actual gear design'!$G$30</definedName>
    <definedName name="Rsun2">'actual gear design'!$G$72</definedName>
    <definedName name="x">'actual gear design'!$C$25</definedName>
    <definedName name="xtwo">'actual gear design'!$C$67</definedName>
    <definedName name="y">'actual gear design'!$C$26</definedName>
    <definedName name="ytwo">'actual gear design'!$C$68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2" l="1"/>
  <c r="H75" i="2" l="1"/>
  <c r="C14" i="2"/>
  <c r="F30" i="2" s="1"/>
  <c r="G33" i="2"/>
  <c r="H33" i="2" s="1"/>
  <c r="C7" i="2"/>
  <c r="C27" i="2" s="1"/>
  <c r="D25" i="2" s="1"/>
  <c r="C25" i="2" l="1"/>
  <c r="D26" i="2"/>
  <c r="F72" i="2"/>
  <c r="C6" i="2"/>
  <c r="C30" i="2" l="1"/>
  <c r="C32" i="2"/>
  <c r="E32" i="2" s="1"/>
  <c r="E47" i="2" s="1"/>
  <c r="C69" i="2" s="1"/>
  <c r="C26" i="2"/>
  <c r="C31" i="2"/>
  <c r="C33" i="2"/>
  <c r="C67" i="2" l="1"/>
  <c r="C68" i="2" s="1"/>
  <c r="D72" i="2" s="1"/>
  <c r="D30" i="2"/>
  <c r="E30" i="2" s="1"/>
  <c r="F33" i="2"/>
  <c r="C75" i="2" l="1"/>
  <c r="C74" i="2"/>
  <c r="E74" i="2" s="1"/>
  <c r="E89" i="2" s="1"/>
  <c r="C72" i="2"/>
  <c r="E72" i="2" s="1"/>
  <c r="C73" i="2"/>
  <c r="F75" i="2"/>
  <c r="C58" i="2" s="1"/>
  <c r="F47" i="2"/>
  <c r="F31" i="2"/>
  <c r="D33" i="2"/>
  <c r="E33" i="2" s="1"/>
  <c r="C17" i="2"/>
  <c r="C16" i="2"/>
  <c r="G72" i="2" l="1"/>
  <c r="H72" i="2" s="1"/>
  <c r="C59" i="2"/>
  <c r="F73" i="2"/>
  <c r="C82" i="2" s="1"/>
  <c r="F90" i="2" s="1"/>
  <c r="F89" i="2"/>
  <c r="C80" i="2" s="1"/>
  <c r="C38" i="2"/>
  <c r="C39" i="2"/>
  <c r="D31" i="2"/>
  <c r="E31" i="2" s="1"/>
  <c r="E48" i="2" s="1"/>
  <c r="C40" i="2"/>
  <c r="F48" i="2" s="1"/>
  <c r="D75" i="2"/>
  <c r="E75" i="2" s="1"/>
  <c r="G73" i="2"/>
  <c r="C60" i="2" s="1"/>
  <c r="D73" i="2"/>
  <c r="E73" i="2" s="1"/>
  <c r="E90" i="2" s="1"/>
  <c r="C21" i="2"/>
  <c r="C22" i="2"/>
  <c r="G30" i="2"/>
  <c r="G31" i="2"/>
  <c r="H31" i="2" s="1"/>
  <c r="C64" i="2"/>
  <c r="C63" i="2"/>
  <c r="C41" i="2" l="1"/>
  <c r="C81" i="2"/>
  <c r="H73" i="2"/>
  <c r="C83" i="2"/>
  <c r="C42" i="2"/>
  <c r="C18" i="2"/>
  <c r="H30" i="2"/>
  <c r="C84" i="2" l="1"/>
  <c r="G89" i="2" s="1"/>
  <c r="C43" i="2"/>
  <c r="G47" i="2"/>
  <c r="C85" i="2" l="1"/>
  <c r="G90" i="2" s="1"/>
  <c r="G48" i="2"/>
  <c r="C44" i="2"/>
  <c r="C86" i="2" l="1"/>
</calcChain>
</file>

<file path=xl/comments1.xml><?xml version="1.0" encoding="utf-8"?>
<comments xmlns="http://schemas.openxmlformats.org/spreadsheetml/2006/main">
  <authors>
    <author>Alex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input fields are yellow
output is black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output
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number of planetary gears should ba a multiple or divisor of this number
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output
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number of planetary gears should ba a multiple or divisor of this number
</t>
        </r>
      </text>
    </comment>
  </commentList>
</comments>
</file>

<file path=xl/sharedStrings.xml><?xml version="1.0" encoding="utf-8"?>
<sst xmlns="http://schemas.openxmlformats.org/spreadsheetml/2006/main" count="99" uniqueCount="53">
  <si>
    <t>Ring is held</t>
  </si>
  <si>
    <t>desired gear ratio:</t>
  </si>
  <si>
    <t>(+)</t>
  </si>
  <si>
    <t>(-)</t>
  </si>
  <si>
    <t>desired sun gear teeth:</t>
  </si>
  <si>
    <t>biggest piece is supporting piece</t>
  </si>
  <si>
    <t>input sun gear at middle of clock</t>
  </si>
  <si>
    <t>ring gear diameter (cm):</t>
  </si>
  <si>
    <t>bigger teeth - stonger, easier to make</t>
  </si>
  <si>
    <t>diametral pitch (cm^-1)</t>
  </si>
  <si>
    <t>only 1 stationary piece</t>
  </si>
  <si>
    <t>gear modulus (cm)</t>
  </si>
  <si>
    <t>looks cooler (more planetary action)</t>
  </si>
  <si>
    <t>tooth description</t>
  </si>
  <si>
    <t>full depth</t>
  </si>
  <si>
    <t>pressure angle (deg)</t>
  </si>
  <si>
    <t>addendum (cm)</t>
  </si>
  <si>
    <t>dedendum (cm)</t>
  </si>
  <si>
    <t>motion components:</t>
  </si>
  <si>
    <t>Rigid body mode (RPM)</t>
  </si>
  <si>
    <t>ordinary mode (RPM)</t>
  </si>
  <si>
    <t>Input sun gear speed (RPM)</t>
  </si>
  <si>
    <t>RBM mode (RPM)</t>
  </si>
  <si>
    <t>superposition (RPM)</t>
  </si>
  <si>
    <t>number of teeth</t>
  </si>
  <si>
    <t>pitch raduis (cm)</t>
  </si>
  <si>
    <t>base radius (cm)</t>
  </si>
  <si>
    <t>Sun gear</t>
  </si>
  <si>
    <t>Planet gear</t>
  </si>
  <si>
    <t>Crank</t>
  </si>
  <si>
    <t>Ring gear</t>
  </si>
  <si>
    <t>crank pin distance (cm)</t>
  </si>
  <si>
    <t>planetary gear train #1</t>
  </si>
  <si>
    <t>harmonic drive #1</t>
  </si>
  <si>
    <t>Ring</t>
  </si>
  <si>
    <t>speed (RPM)</t>
  </si>
  <si>
    <t xml:space="preserve"> </t>
  </si>
  <si>
    <t xml:space="preserve"> _</t>
  </si>
  <si>
    <t xml:space="preserve">  _</t>
  </si>
  <si>
    <t>escapement</t>
  </si>
  <si>
    <t>desired pendulum period (s)</t>
  </si>
  <si>
    <t xml:space="preserve">required pendulum length </t>
  </si>
  <si>
    <t>escapement wheel speed (RPM)</t>
  </si>
  <si>
    <t>planetary gear train #2</t>
  </si>
  <si>
    <t>harmonic drive #2</t>
  </si>
  <si>
    <t>harmonic planet teeth</t>
  </si>
  <si>
    <t>center to harmonic planet (cm)</t>
  </si>
  <si>
    <t>tooth difference</t>
  </si>
  <si>
    <t>harmonic ring teeth</t>
  </si>
  <si>
    <t>harmonic planet radius (cm)</t>
  </si>
  <si>
    <t>harmonic ring radius (cm)</t>
  </si>
  <si>
    <t>harmonic diametral pitch (cm^-1)</t>
  </si>
  <si>
    <t>harmonic planet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</si>
</sst>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\ ???/???"/>
    <numFmt numFmtId="165" formatCode="#\ ??/????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 style="thin">
        <color theme="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71">
    <xf numFmtId="0" fontId="0" fillId="0" borderId="0" xfId="0"/>
    <xf numFmtId="49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4" borderId="0" xfId="3" applyNumberFormat="1" applyAlignment="1">
      <alignment horizontal="center" vertical="center"/>
    </xf>
    <xf numFmtId="2" fontId="3" fillId="4" borderId="0" xfId="3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4" borderId="0" xfId="3" applyAlignment="1">
      <alignment horizontal="center" vertical="center"/>
    </xf>
    <xf numFmtId="2" fontId="4" fillId="5" borderId="1" xfId="4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4" fillId="5" borderId="1" xfId="4" applyNumberFormat="1" applyAlignment="1">
      <alignment horizontal="center"/>
    </xf>
    <xf numFmtId="2" fontId="5" fillId="0" borderId="10" xfId="0" applyNumberFormat="1" applyFont="1" applyBorder="1" applyAlignment="1">
      <alignment horizontal="center" vertical="center"/>
    </xf>
    <xf numFmtId="2" fontId="5" fillId="7" borderId="10" xfId="0" applyNumberFormat="1" applyFont="1" applyFill="1" applyBorder="1" applyAlignment="1">
      <alignment horizontal="center" vertical="center"/>
    </xf>
    <xf numFmtId="165" fontId="6" fillId="7" borderId="10" xfId="0" applyNumberFormat="1" applyFont="1" applyFill="1" applyBorder="1" applyAlignment="1">
      <alignment horizontal="center" vertical="center"/>
    </xf>
    <xf numFmtId="2" fontId="6" fillId="7" borderId="10" xfId="0" applyNumberFormat="1" applyFont="1" applyFill="1" applyBorder="1" applyAlignment="1">
      <alignment horizontal="center" vertical="center"/>
    </xf>
    <xf numFmtId="2" fontId="6" fillId="7" borderId="10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5" fillId="7" borderId="0" xfId="0" applyNumberFormat="1" applyFont="1" applyFill="1" applyAlignment="1">
      <alignment horizontal="center" vertical="center"/>
    </xf>
    <xf numFmtId="165" fontId="6" fillId="7" borderId="0" xfId="0" applyNumberFormat="1" applyFont="1" applyFill="1" applyAlignment="1">
      <alignment horizontal="center" vertical="center"/>
    </xf>
    <xf numFmtId="165" fontId="1" fillId="8" borderId="0" xfId="1" applyNumberFormat="1" applyFont="1" applyFill="1" applyAlignment="1">
      <alignment horizontal="center" vertical="center"/>
    </xf>
    <xf numFmtId="2" fontId="6" fillId="6" borderId="0" xfId="0" applyNumberFormat="1" applyFont="1" applyFill="1" applyAlignment="1">
      <alignment horizontal="center" vertical="center"/>
    </xf>
    <xf numFmtId="2" fontId="6" fillId="6" borderId="0" xfId="0" applyNumberFormat="1" applyFont="1" applyFill="1" applyAlignment="1">
      <alignment horizontal="center"/>
    </xf>
    <xf numFmtId="2" fontId="5" fillId="0" borderId="11" xfId="0" applyNumberFormat="1" applyFont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  <xf numFmtId="165" fontId="4" fillId="5" borderId="12" xfId="4" applyNumberFormat="1" applyFont="1" applyFill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/>
    </xf>
    <xf numFmtId="0" fontId="4" fillId="5" borderId="1" xfId="4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Border="1" applyAlignment="1">
      <alignment horizontal="center" vertical="center"/>
    </xf>
    <xf numFmtId="0" fontId="2" fillId="0" borderId="0" xfId="2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9" fillId="0" borderId="2" xfId="0" applyFont="1" applyBorder="1"/>
    <xf numFmtId="0" fontId="4" fillId="5" borderId="12" xfId="4" applyBorder="1" applyAlignment="1">
      <alignment horizontal="center" vertical="center"/>
    </xf>
    <xf numFmtId="2" fontId="4" fillId="5" borderId="12" xfId="4" applyNumberFormat="1" applyBorder="1" applyAlignment="1">
      <alignment horizontal="center" vertical="center"/>
    </xf>
    <xf numFmtId="2" fontId="4" fillId="5" borderId="12" xfId="4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165" fontId="6" fillId="7" borderId="10" xfId="0" applyNumberFormat="1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13" fontId="3" fillId="4" borderId="0" xfId="3" applyNumberFormat="1" applyAlignment="1">
      <alignment horizontal="center"/>
    </xf>
    <xf numFmtId="0" fontId="4" fillId="5" borderId="1" xfId="4" applyAlignment="1">
      <alignment horizontal="center"/>
    </xf>
    <xf numFmtId="0" fontId="3" fillId="4" borderId="0" xfId="3" applyAlignment="1">
      <alignment horizontal="center"/>
    </xf>
    <xf numFmtId="166" fontId="4" fillId="5" borderId="1" xfId="4" applyNumberFormat="1" applyAlignment="1">
      <alignment horizontal="center"/>
    </xf>
    <xf numFmtId="2" fontId="3" fillId="4" borderId="0" xfId="3" applyNumberFormat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9" fillId="0" borderId="2" xfId="0" applyNumberFormat="1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6" borderId="3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\ ??/????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numFmt numFmtId="165" formatCode="#\ ??/????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1242060</xdr:colOff>
      <xdr:row>19</xdr:row>
      <xdr:rowOff>99060</xdr:rowOff>
    </xdr:from>
    <xdr:ext cx="184731" cy="264560"/>
    <xdr:sp macro="" textlink="">
      <xdr:nvSpPr>
        <xdr:cNvPr id="2" name="TextBox 1"/>
        <xdr:cNvSpPr txBox="1"/>
      </xdr:nvSpPr>
      <xdr:spPr>
        <a:xfrm>
          <a:off x="6492240" y="1965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  <xdr:twoCellAnchor>
    <xdr:from>
      <xdr:col>4</xdr:col>
      <xdr:colOff>15240</xdr:colOff>
      <xdr:row>18</xdr:row>
      <xdr:rowOff>15240</xdr:rowOff>
    </xdr:from>
    <xdr:to>
      <xdr:col>6</xdr:col>
      <xdr:colOff>845820</xdr:colOff>
      <xdr:row>24</xdr:row>
      <xdr:rowOff>175260</xdr:rowOff>
    </xdr:to>
    <xdr:sp macro="" textlink="">
      <xdr:nvSpPr>
        <xdr:cNvPr id="3" name="TextBox 2"/>
        <xdr:cNvSpPr txBox="1"/>
      </xdr:nvSpPr>
      <xdr:spPr>
        <a:xfrm>
          <a:off x="5265420" y="1684020"/>
          <a:ext cx="3886200" cy="1310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parametric EQNs for involute profile:</a:t>
          </a:r>
        </a:p>
        <a:p>
          <a:r>
            <a:rPr lang="en-CA" sz="1100"/>
            <a:t>x(t)=base radius * (cos(t)+tsin(t))</a:t>
          </a:r>
        </a:p>
        <a:p>
          <a:r>
            <a:rPr lang="en-CA" sz="1100"/>
            <a:t>y(t)=base radius * (sint(t)-tcos(t))</a:t>
          </a:r>
        </a:p>
        <a:p>
          <a:endParaRPr lang="en-CA" sz="1100"/>
        </a:p>
        <a:p>
          <a:r>
            <a:rPr lang="en-CA" sz="1100"/>
            <a:t>need 4 circles (pitch, addendum, dedundum, base) to create a gear profile.</a:t>
          </a:r>
        </a:p>
      </xdr:txBody>
    </xdr:sp>
    <xdr:clientData/>
  </xdr:twoCellAnchor>
  <xdr:oneCellAnchor>
    <xdr:from>
      <xdr:col>4</xdr:col>
      <xdr:colOff>1242060</xdr:colOff>
      <xdr:row>19</xdr:row>
      <xdr:rowOff>99060</xdr:rowOff>
    </xdr:from>
    <xdr:ext cx="184731" cy="264560"/>
    <xdr:sp macro="" textlink="">
      <xdr:nvSpPr>
        <xdr:cNvPr id="4" name="TextBox 3"/>
        <xdr:cNvSpPr txBox="1"/>
      </xdr:nvSpPr>
      <xdr:spPr>
        <a:xfrm>
          <a:off x="6492240" y="1965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  <xdr:twoCellAnchor>
    <xdr:from>
      <xdr:col>4</xdr:col>
      <xdr:colOff>15240</xdr:colOff>
      <xdr:row>18</xdr:row>
      <xdr:rowOff>15240</xdr:rowOff>
    </xdr:from>
    <xdr:to>
      <xdr:col>6</xdr:col>
      <xdr:colOff>845820</xdr:colOff>
      <xdr:row>24</xdr:row>
      <xdr:rowOff>175260</xdr:rowOff>
    </xdr:to>
    <xdr:sp macro="" textlink="">
      <xdr:nvSpPr>
        <xdr:cNvPr id="5" name="TextBox 4"/>
        <xdr:cNvSpPr txBox="1"/>
      </xdr:nvSpPr>
      <xdr:spPr>
        <a:xfrm>
          <a:off x="5265420" y="1684020"/>
          <a:ext cx="3886200" cy="1310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parametric EQNs for involute profile:</a:t>
          </a:r>
        </a:p>
        <a:p>
          <a:r>
            <a:rPr lang="en-CA" sz="1100"/>
            <a:t>x(t)=base radius * (cos(t)+tsin(t))</a:t>
          </a:r>
        </a:p>
        <a:p>
          <a:r>
            <a:rPr lang="en-CA" sz="1100"/>
            <a:t>y(t)=base radius * (sint(t)-tcos(t))</a:t>
          </a:r>
        </a:p>
        <a:p>
          <a:endParaRPr lang="en-CA" sz="1100"/>
        </a:p>
        <a:p>
          <a:r>
            <a:rPr lang="en-CA" sz="1100"/>
            <a:t>need 4 circles (pitch, addendum, dedundum, base) to create a gear profile.</a:t>
          </a:r>
        </a:p>
      </xdr:txBody>
    </xdr:sp>
    <xdr:clientData/>
  </xdr:twoCellAnchor>
  <xdr:oneCellAnchor>
    <xdr:from>
      <xdr:col>4</xdr:col>
      <xdr:colOff>1242060</xdr:colOff>
      <xdr:row>61</xdr:row>
      <xdr:rowOff>99060</xdr:rowOff>
    </xdr:from>
    <xdr:ext cx="184731" cy="264560"/>
    <xdr:sp macro="" textlink="">
      <xdr:nvSpPr>
        <xdr:cNvPr id="8" name="TextBox 7"/>
        <xdr:cNvSpPr txBox="1"/>
      </xdr:nvSpPr>
      <xdr:spPr>
        <a:xfrm>
          <a:off x="6157251" y="37345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4</xdr:col>
      <xdr:colOff>1242060</xdr:colOff>
      <xdr:row>61</xdr:row>
      <xdr:rowOff>99060</xdr:rowOff>
    </xdr:from>
    <xdr:ext cx="184731" cy="264560"/>
    <xdr:sp macro="" textlink="">
      <xdr:nvSpPr>
        <xdr:cNvPr id="10" name="TextBox 9"/>
        <xdr:cNvSpPr txBox="1"/>
      </xdr:nvSpPr>
      <xdr:spPr>
        <a:xfrm>
          <a:off x="6157251" y="37345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tables/table1.xml><?xml version="1.0" encoding="utf-8"?>
<table xmlns="http://schemas.openxmlformats.org/spreadsheetml/2006/main" id="2" name="Table2" displayName="Table2" ref="B46:F48" totalsRowCount="1">
  <autoFilter ref="B46:F4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 " totalsRowLabel="harmonic planet" dataDxfId="15" totalsRowDxfId="14"/>
    <tableColumn id="2" name="  _"/>
    <tableColumn id="3" name=" _" dataDxfId="13" totalsRowDxfId="12"/>
    <tableColumn id="4" name="speed (RPM)" totalsRowFunction="custom" dataDxfId="11" totalsRowDxfId="10">
      <calculatedColumnFormula>E32*hRatio</calculatedColumnFormula>
      <totalsRowFormula>E31</totalsRowFormula>
    </tableColumn>
    <tableColumn id="5" name="number of teeth" totalsRowFunction="custom" dataDxfId="9" totalsRowDxfId="8" dataCellStyle="Normal">
      <calculatedColumnFormula>(Nring/(1-hRatio))</calculatedColumnFormula>
      <totalsRowFormula>C40</totalsRow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88:F90" totalsRowCount="1">
  <autoFilter ref="B88:F89"/>
  <tableColumns count="5">
    <tableColumn id="1" name=" " totalsRowLabel="harmonic planet" dataDxfId="7" totalsRowDxfId="6"/>
    <tableColumn id="2" name="  _"/>
    <tableColumn id="3" name=" _" dataDxfId="5" totalsRowDxfId="4"/>
    <tableColumn id="4" name="speed (RPM)" totalsRowFunction="custom" dataDxfId="3" totalsRowDxfId="2">
      <calculatedColumnFormula>E74*hRatio2</calculatedColumnFormula>
      <totalsRowFormula>E73</totalsRowFormula>
    </tableColumn>
    <tableColumn id="5" name="number of teeth" totalsRowFunction="custom" dataDxfId="1" totalsRowDxfId="0" dataCellStyle="Normal">
      <calculatedColumnFormula>(Nring2/(1-hRatio2))</calculatedColumnFormula>
      <totalsRowFormula>C82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0"/>
  <sheetViews>
    <sheetView tabSelected="1" topLeftCell="A28" zoomScale="99" zoomScaleNormal="99" workbookViewId="0">
      <selection activeCell="H39" sqref="H39"/>
    </sheetView>
  </sheetViews>
  <sheetFormatPr defaultRowHeight="14.4" x14ac:dyDescent="0.3"/>
  <cols>
    <col min="1" max="1" width="8.88671875" style="1"/>
    <col min="2" max="2" width="28.77734375" bestFit="1" customWidth="1"/>
    <col min="3" max="3" width="16.21875" bestFit="1" customWidth="1"/>
    <col min="4" max="4" width="19.44140625" bestFit="1" customWidth="1"/>
    <col min="5" max="5" width="18.44140625" bestFit="1" customWidth="1"/>
    <col min="6" max="6" width="16.109375" customWidth="1"/>
    <col min="7" max="7" width="15.21875" bestFit="1" customWidth="1"/>
    <col min="8" max="8" width="17.44140625" bestFit="1" customWidth="1"/>
  </cols>
  <sheetData>
    <row r="1" spans="1:9" x14ac:dyDescent="0.3">
      <c r="A1" s="32"/>
      <c r="B1" s="2"/>
      <c r="C1" s="2"/>
      <c r="D1" s="2"/>
      <c r="E1" s="2"/>
      <c r="F1" s="2"/>
      <c r="G1" s="2"/>
      <c r="H1" s="2"/>
    </row>
    <row r="2" spans="1:9" x14ac:dyDescent="0.3">
      <c r="I2" s="3"/>
    </row>
    <row r="3" spans="1:9" x14ac:dyDescent="0.3">
      <c r="B3" s="44" t="s">
        <v>39</v>
      </c>
      <c r="C3" s="6"/>
      <c r="D3" s="6"/>
      <c r="I3" s="3"/>
    </row>
    <row r="4" spans="1:9" x14ac:dyDescent="0.3">
      <c r="B4" t="s">
        <v>24</v>
      </c>
      <c r="C4" s="54">
        <v>30</v>
      </c>
      <c r="D4" s="6"/>
      <c r="I4" s="3"/>
    </row>
    <row r="5" spans="1:9" ht="15" thickBot="1" x14ac:dyDescent="0.35">
      <c r="B5" t="s">
        <v>40</v>
      </c>
      <c r="C5" s="54">
        <v>2</v>
      </c>
      <c r="D5" s="6"/>
      <c r="I5" s="6"/>
    </row>
    <row r="6" spans="1:9" ht="15.6" thickTop="1" thickBot="1" x14ac:dyDescent="0.35">
      <c r="B6" t="s">
        <v>41</v>
      </c>
      <c r="C6" s="55">
        <f>C5^2/(4*PI()^2)*9.81</f>
        <v>0.99396081153133364</v>
      </c>
      <c r="D6" s="6"/>
      <c r="I6" s="6"/>
    </row>
    <row r="7" spans="1:9" ht="15.6" thickTop="1" thickBot="1" x14ac:dyDescent="0.35">
      <c r="B7" t="s">
        <v>42</v>
      </c>
      <c r="C7" s="53">
        <f>C5*15/C4</f>
        <v>1</v>
      </c>
      <c r="D7" s="6"/>
      <c r="I7" s="6"/>
    </row>
    <row r="8" spans="1:9" ht="15" thickTop="1" x14ac:dyDescent="0.3">
      <c r="C8" s="6"/>
      <c r="D8" s="6"/>
      <c r="I8" s="6"/>
    </row>
    <row r="9" spans="1:9" x14ac:dyDescent="0.3">
      <c r="C9" s="6"/>
      <c r="D9" s="6"/>
      <c r="I9" s="6"/>
    </row>
    <row r="10" spans="1:9" x14ac:dyDescent="0.3">
      <c r="C10" s="6"/>
      <c r="I10" s="6"/>
    </row>
    <row r="11" spans="1:9" x14ac:dyDescent="0.3">
      <c r="B11" s="2"/>
      <c r="C11" s="2"/>
      <c r="D11" s="2"/>
      <c r="F11" s="2"/>
      <c r="G11" s="2"/>
      <c r="H11" s="2"/>
      <c r="I11" s="3"/>
    </row>
    <row r="12" spans="1:9" x14ac:dyDescent="0.3">
      <c r="A12" s="32"/>
      <c r="B12" s="61" t="s">
        <v>32</v>
      </c>
      <c r="C12" s="36"/>
      <c r="D12" s="2"/>
      <c r="E12" s="68" t="s">
        <v>0</v>
      </c>
      <c r="F12" s="69"/>
      <c r="G12" s="69"/>
      <c r="H12" s="70"/>
      <c r="I12" s="6"/>
    </row>
    <row r="13" spans="1:9" x14ac:dyDescent="0.3">
      <c r="A13" s="32"/>
      <c r="B13" s="2" t="s">
        <v>1</v>
      </c>
      <c r="C13" s="4">
        <v>0.25</v>
      </c>
      <c r="D13" s="2"/>
      <c r="E13" s="65" t="s">
        <v>2</v>
      </c>
      <c r="F13" s="66"/>
      <c r="G13" s="66" t="s">
        <v>3</v>
      </c>
      <c r="H13" s="67"/>
      <c r="I13" s="6"/>
    </row>
    <row r="14" spans="1:9" x14ac:dyDescent="0.3">
      <c r="A14" s="32"/>
      <c r="B14" s="2" t="s">
        <v>4</v>
      </c>
      <c r="C14" s="5">
        <f>14*3</f>
        <v>42</v>
      </c>
      <c r="D14" s="2"/>
      <c r="E14" s="65" t="s">
        <v>5</v>
      </c>
      <c r="F14" s="66"/>
      <c r="G14" s="66" t="s">
        <v>6</v>
      </c>
      <c r="H14" s="67"/>
    </row>
    <row r="15" spans="1:9" ht="15" thickBot="1" x14ac:dyDescent="0.35">
      <c r="A15" s="32"/>
      <c r="B15" s="2" t="s">
        <v>7</v>
      </c>
      <c r="C15" s="7">
        <v>30</v>
      </c>
      <c r="D15" s="2"/>
      <c r="E15" s="65" t="s">
        <v>8</v>
      </c>
      <c r="F15" s="66"/>
      <c r="G15" s="34"/>
      <c r="H15" s="35"/>
      <c r="I15" s="6"/>
    </row>
    <row r="16" spans="1:9" ht="15.6" thickTop="1" thickBot="1" x14ac:dyDescent="0.35">
      <c r="A16" s="32"/>
      <c r="B16" s="2" t="s">
        <v>9</v>
      </c>
      <c r="C16" s="31">
        <f>Nring/(2*Rring)</f>
        <v>4.2</v>
      </c>
      <c r="D16" s="2"/>
      <c r="E16" s="65" t="s">
        <v>10</v>
      </c>
      <c r="F16" s="66"/>
      <c r="G16" s="34"/>
      <c r="H16" s="35"/>
      <c r="I16" s="9"/>
    </row>
    <row r="17" spans="1:9" ht="15.6" thickTop="1" thickBot="1" x14ac:dyDescent="0.35">
      <c r="A17" s="32"/>
      <c r="B17" s="2" t="s">
        <v>11</v>
      </c>
      <c r="C17" s="8">
        <f>2*Rring/Nring</f>
        <v>0.23809523809523808</v>
      </c>
      <c r="D17" s="2"/>
      <c r="E17" s="63" t="s">
        <v>12</v>
      </c>
      <c r="F17" s="64"/>
      <c r="G17" s="37"/>
      <c r="H17" s="38"/>
      <c r="I17" s="6"/>
    </row>
    <row r="18" spans="1:9" ht="15.6" thickTop="1" thickBot="1" x14ac:dyDescent="0.35">
      <c r="A18" s="32"/>
      <c r="B18" s="9" t="s">
        <v>31</v>
      </c>
      <c r="C18" s="10">
        <f>Rsun+Rplanet</f>
        <v>10</v>
      </c>
      <c r="D18" s="9"/>
      <c r="E18" s="9"/>
      <c r="F18" s="9"/>
      <c r="G18" s="9"/>
      <c r="H18" s="9"/>
      <c r="I18" s="3"/>
    </row>
    <row r="19" spans="1:9" ht="15.6" thickTop="1" thickBot="1" x14ac:dyDescent="0.35">
      <c r="A19" s="32"/>
      <c r="B19" s="2" t="s">
        <v>13</v>
      </c>
      <c r="C19" s="8" t="s">
        <v>14</v>
      </c>
      <c r="D19" s="6"/>
      <c r="E19" s="6"/>
      <c r="F19" s="6"/>
      <c r="G19" s="9"/>
      <c r="H19" s="9"/>
      <c r="I19" s="3"/>
    </row>
    <row r="20" spans="1:9" ht="15.6" thickTop="1" thickBot="1" x14ac:dyDescent="0.35">
      <c r="A20" s="32"/>
      <c r="B20" s="2" t="s">
        <v>15</v>
      </c>
      <c r="C20" s="8">
        <v>20</v>
      </c>
      <c r="D20" s="6"/>
      <c r="E20" s="6"/>
      <c r="F20" s="9"/>
      <c r="G20" s="9"/>
      <c r="H20" s="6"/>
      <c r="I20" s="3"/>
    </row>
    <row r="21" spans="1:9" ht="15.6" thickTop="1" thickBot="1" x14ac:dyDescent="0.35">
      <c r="A21" s="32"/>
      <c r="B21" s="2" t="s">
        <v>16</v>
      </c>
      <c r="C21" s="8">
        <f>1/Dpitch</f>
        <v>0.23809523809523808</v>
      </c>
      <c r="D21" s="6"/>
      <c r="E21" s="6"/>
      <c r="F21" s="9"/>
      <c r="G21" s="9"/>
      <c r="H21" s="9"/>
      <c r="I21" s="3"/>
    </row>
    <row r="22" spans="1:9" ht="15.6" thickTop="1" thickBot="1" x14ac:dyDescent="0.35">
      <c r="A22" s="32"/>
      <c r="B22" s="2" t="s">
        <v>17</v>
      </c>
      <c r="C22" s="10">
        <f>1.25/Dpitch</f>
        <v>0.29761904761904762</v>
      </c>
      <c r="D22" s="6"/>
      <c r="E22" s="6"/>
      <c r="F22" s="9"/>
      <c r="G22" s="9"/>
      <c r="I22" s="6"/>
    </row>
    <row r="23" spans="1:9" ht="15" thickTop="1" x14ac:dyDescent="0.3">
      <c r="A23" s="32"/>
      <c r="I23" s="6"/>
    </row>
    <row r="24" spans="1:9" ht="15" thickBot="1" x14ac:dyDescent="0.35">
      <c r="B24" s="2" t="s">
        <v>18</v>
      </c>
      <c r="C24" s="2"/>
      <c r="D24" s="6"/>
      <c r="E24" s="2"/>
      <c r="F24" s="2"/>
      <c r="G24" s="9"/>
      <c r="H24" s="9"/>
      <c r="I24" s="6"/>
    </row>
    <row r="25" spans="1:9" ht="15.6" thickTop="1" thickBot="1" x14ac:dyDescent="0.35">
      <c r="A25" s="32"/>
      <c r="B25" s="2" t="s">
        <v>19</v>
      </c>
      <c r="C25" s="8">
        <f>C27/(1+((1-Ratio)/Ratio))</f>
        <v>0.25</v>
      </c>
      <c r="D25" s="9">
        <f>Ratio*C27</f>
        <v>0.25</v>
      </c>
      <c r="E25" s="9"/>
      <c r="F25" s="9"/>
      <c r="G25" s="9"/>
      <c r="H25" s="9"/>
      <c r="I25" s="6"/>
    </row>
    <row r="26" spans="1:9" ht="15.6" thickTop="1" thickBot="1" x14ac:dyDescent="0.35">
      <c r="A26" s="32"/>
      <c r="B26" s="2" t="s">
        <v>20</v>
      </c>
      <c r="C26" s="8">
        <f>((1-Ratio)/Ratio)*x</f>
        <v>0.75</v>
      </c>
      <c r="D26" s="2">
        <f>C27-D25</f>
        <v>0.75</v>
      </c>
      <c r="E26" s="9"/>
      <c r="F26" s="9"/>
      <c r="G26" s="9"/>
      <c r="H26" s="2"/>
      <c r="I26" s="6"/>
    </row>
    <row r="27" spans="1:9" ht="15.6" thickTop="1" thickBot="1" x14ac:dyDescent="0.35">
      <c r="A27" s="32"/>
      <c r="B27" s="2" t="s">
        <v>21</v>
      </c>
      <c r="C27" s="8">
        <f>C7</f>
        <v>1</v>
      </c>
      <c r="D27" s="2"/>
      <c r="E27" s="9"/>
      <c r="F27" s="9"/>
      <c r="G27" s="2"/>
      <c r="H27" s="2"/>
      <c r="I27" s="6"/>
    </row>
    <row r="28" spans="1:9" ht="15" thickTop="1" x14ac:dyDescent="0.3">
      <c r="A28" s="32"/>
      <c r="B28" s="9"/>
      <c r="C28" s="9"/>
      <c r="D28" s="2"/>
      <c r="E28" s="2"/>
      <c r="F28" s="2"/>
      <c r="G28" s="2"/>
      <c r="H28" s="2"/>
      <c r="I28" s="6"/>
    </row>
    <row r="29" spans="1:9" x14ac:dyDescent="0.3">
      <c r="A29" s="32"/>
      <c r="B29" s="11"/>
      <c r="C29" s="11" t="s">
        <v>22</v>
      </c>
      <c r="D29" s="11" t="s">
        <v>20</v>
      </c>
      <c r="E29" s="11" t="s">
        <v>23</v>
      </c>
      <c r="F29" s="11" t="s">
        <v>24</v>
      </c>
      <c r="G29" s="11" t="s">
        <v>25</v>
      </c>
      <c r="H29" s="11" t="s">
        <v>26</v>
      </c>
      <c r="I29" s="6"/>
    </row>
    <row r="30" spans="1:9" x14ac:dyDescent="0.3">
      <c r="A30" s="32"/>
      <c r="B30" s="12" t="s">
        <v>27</v>
      </c>
      <c r="C30" s="13">
        <f>x</f>
        <v>0.25</v>
      </c>
      <c r="D30" s="13">
        <f>y</f>
        <v>0.75</v>
      </c>
      <c r="E30" s="50">
        <f>C30+D30</f>
        <v>1</v>
      </c>
      <c r="F30" s="14">
        <f>C14</f>
        <v>42</v>
      </c>
      <c r="G30" s="14">
        <f>Nsun/(2*Dpitch)</f>
        <v>5</v>
      </c>
      <c r="H30" s="15">
        <f>Rsun*COS(RADIANS($C$20))</f>
        <v>4.6984631039295426</v>
      </c>
      <c r="I30" s="3"/>
    </row>
    <row r="31" spans="1:9" x14ac:dyDescent="0.3">
      <c r="A31" s="32"/>
      <c r="B31" s="16" t="s">
        <v>28</v>
      </c>
      <c r="C31" s="17">
        <f>x</f>
        <v>0.25</v>
      </c>
      <c r="D31" s="17">
        <f>-y*(Nsun/Nplanet)</f>
        <v>-0.75</v>
      </c>
      <c r="E31" s="17">
        <f>C31+D31</f>
        <v>-0.5</v>
      </c>
      <c r="F31" s="18">
        <f>(Nring-Nsun)/2</f>
        <v>42</v>
      </c>
      <c r="G31" s="18">
        <f>Nplanet/(2*Dpitch)</f>
        <v>5</v>
      </c>
      <c r="H31" s="19">
        <f>Rplanet*COS(RADIANS($C$20))</f>
        <v>4.6984631039295426</v>
      </c>
      <c r="I31" s="6"/>
    </row>
    <row r="32" spans="1:9" ht="15" thickBot="1" x14ac:dyDescent="0.35">
      <c r="A32" s="32"/>
      <c r="B32" s="20" t="s">
        <v>29</v>
      </c>
      <c r="C32" s="21">
        <f>x</f>
        <v>0.25</v>
      </c>
      <c r="D32" s="21">
        <v>0</v>
      </c>
      <c r="E32" s="22">
        <f>C32+D32</f>
        <v>0.25</v>
      </c>
      <c r="F32" s="23"/>
      <c r="G32" s="23"/>
      <c r="H32" s="24"/>
      <c r="I32" s="6"/>
    </row>
    <row r="33" spans="1:9" ht="15.6" thickTop="1" thickBot="1" x14ac:dyDescent="0.35">
      <c r="A33" s="32"/>
      <c r="B33" s="25" t="s">
        <v>30</v>
      </c>
      <c r="C33" s="26">
        <f>x</f>
        <v>0.25</v>
      </c>
      <c r="D33" s="26">
        <f>-y*(Nsun/Nring)</f>
        <v>-0.25</v>
      </c>
      <c r="E33" s="27">
        <f>C33+D33</f>
        <v>0</v>
      </c>
      <c r="F33" s="28">
        <f>(y/x)*(Nsun)</f>
        <v>126</v>
      </c>
      <c r="G33" s="29">
        <f>C15/2</f>
        <v>15</v>
      </c>
      <c r="H33" s="30">
        <f>Rring*COS(RADIANS($C$20))</f>
        <v>14.095389311788626</v>
      </c>
      <c r="I33" s="6"/>
    </row>
    <row r="34" spans="1:9" ht="15" thickTop="1" x14ac:dyDescent="0.3">
      <c r="A34" s="32"/>
      <c r="B34" s="6"/>
      <c r="C34" s="6"/>
      <c r="D34" s="6"/>
      <c r="E34" s="6"/>
      <c r="F34" s="6"/>
      <c r="G34" s="6"/>
      <c r="H34" s="6"/>
      <c r="I34" s="6"/>
    </row>
    <row r="35" spans="1:9" x14ac:dyDescent="0.3">
      <c r="A35" s="32"/>
      <c r="B35" s="6"/>
      <c r="C35" s="6"/>
      <c r="D35" s="6"/>
      <c r="E35" s="3"/>
      <c r="F35" s="3"/>
      <c r="G35" s="3"/>
      <c r="H35" s="3"/>
      <c r="I35" s="6"/>
    </row>
    <row r="36" spans="1:9" x14ac:dyDescent="0.3">
      <c r="A36" s="32"/>
      <c r="B36" s="62" t="s">
        <v>33</v>
      </c>
      <c r="C36" s="40"/>
      <c r="D36" s="40"/>
      <c r="F36" s="39"/>
      <c r="I36" s="6"/>
    </row>
    <row r="37" spans="1:9" ht="15" thickBot="1" x14ac:dyDescent="0.35">
      <c r="A37" s="32"/>
      <c r="B37" s="9" t="s">
        <v>1</v>
      </c>
      <c r="C37" s="52">
        <v>6.6666666666666666E-2</v>
      </c>
      <c r="D37" s="6"/>
      <c r="E37" s="39"/>
      <c r="F37" s="39"/>
      <c r="G37" s="40"/>
      <c r="H37" s="40"/>
      <c r="I37" s="3"/>
    </row>
    <row r="38" spans="1:9" ht="15.6" thickTop="1" thickBot="1" x14ac:dyDescent="0.35">
      <c r="A38" s="32"/>
      <c r="B38" s="6" t="s">
        <v>47</v>
      </c>
      <c r="C38" s="10">
        <f>Table2[number of teeth]-Nring</f>
        <v>9</v>
      </c>
      <c r="D38" s="6"/>
      <c r="E38" s="39"/>
      <c r="G38" s="42"/>
      <c r="H38" s="42"/>
      <c r="I38" s="3"/>
    </row>
    <row r="39" spans="1:9" ht="15.6" thickTop="1" thickBot="1" x14ac:dyDescent="0.35">
      <c r="A39" s="32"/>
      <c r="B39" s="6" t="s">
        <v>48</v>
      </c>
      <c r="C39" s="10">
        <f>Table2[number of teeth]</f>
        <v>135</v>
      </c>
      <c r="D39" s="6"/>
      <c r="I39" s="6"/>
    </row>
    <row r="40" spans="1:9" ht="15.6" thickTop="1" thickBot="1" x14ac:dyDescent="0.35">
      <c r="B40" s="6" t="s">
        <v>45</v>
      </c>
      <c r="C40" s="56">
        <f>Nplanet</f>
        <v>42</v>
      </c>
      <c r="D40" s="6"/>
      <c r="I40" s="40"/>
    </row>
    <row r="41" spans="1:9" ht="15.6" thickTop="1" thickBot="1" x14ac:dyDescent="0.35">
      <c r="B41" s="6" t="s">
        <v>46</v>
      </c>
      <c r="C41" s="10">
        <f>Rsun+Rplanet</f>
        <v>10</v>
      </c>
      <c r="D41" s="6"/>
    </row>
    <row r="42" spans="1:9" ht="15.6" thickTop="1" thickBot="1" x14ac:dyDescent="0.35">
      <c r="B42" s="6" t="s">
        <v>50</v>
      </c>
      <c r="C42" s="10">
        <f>C41/(1-C40/C39)</f>
        <v>14.516129032258064</v>
      </c>
      <c r="D42" s="3"/>
      <c r="E42" s="3"/>
      <c r="F42" s="3"/>
      <c r="G42" s="3"/>
    </row>
    <row r="43" spans="1:9" ht="15.6" thickTop="1" thickBot="1" x14ac:dyDescent="0.35">
      <c r="B43" s="6" t="s">
        <v>49</v>
      </c>
      <c r="C43" s="10">
        <f>C42*(C40/C39)</f>
        <v>4.5161290322580641</v>
      </c>
      <c r="D43" s="3"/>
      <c r="E43" s="3"/>
      <c r="F43" s="3"/>
      <c r="G43" s="3"/>
    </row>
    <row r="44" spans="1:9" ht="15.6" thickTop="1" thickBot="1" x14ac:dyDescent="0.35">
      <c r="B44" s="6" t="s">
        <v>51</v>
      </c>
      <c r="C44" s="10">
        <f>C40/(2*C43)</f>
        <v>4.6500000000000004</v>
      </c>
      <c r="D44" s="3"/>
      <c r="E44" s="3"/>
      <c r="F44" s="3"/>
      <c r="G44" s="3"/>
    </row>
    <row r="45" spans="1:9" ht="15" thickTop="1" x14ac:dyDescent="0.3">
      <c r="D45" s="3"/>
      <c r="E45" s="3"/>
      <c r="F45" s="3"/>
      <c r="G45" s="3"/>
    </row>
    <row r="46" spans="1:9" x14ac:dyDescent="0.3">
      <c r="B46" t="s">
        <v>36</v>
      </c>
      <c r="C46" t="s">
        <v>38</v>
      </c>
      <c r="D46" s="3" t="s">
        <v>37</v>
      </c>
      <c r="E46" s="39" t="s">
        <v>35</v>
      </c>
      <c r="F46" s="11" t="s">
        <v>24</v>
      </c>
      <c r="G46" s="11" t="s">
        <v>25</v>
      </c>
    </row>
    <row r="47" spans="1:9" x14ac:dyDescent="0.3">
      <c r="B47" s="2" t="s">
        <v>34</v>
      </c>
      <c r="D47" s="39"/>
      <c r="E47" s="57">
        <f>E32*hRatio</f>
        <v>1.6666666666666666E-2</v>
      </c>
      <c r="F47" s="3">
        <f>(Nring/(1-hRatio))</f>
        <v>135</v>
      </c>
      <c r="G47" s="14">
        <f>C42</f>
        <v>14.516129032258064</v>
      </c>
    </row>
    <row r="48" spans="1:9" x14ac:dyDescent="0.3">
      <c r="B48" s="2" t="s">
        <v>52</v>
      </c>
      <c r="D48" s="51"/>
      <c r="E48" s="59">
        <f>E31</f>
        <v>-0.5</v>
      </c>
      <c r="F48" s="60">
        <f>C40</f>
        <v>42</v>
      </c>
      <c r="G48" s="18">
        <f>C43</f>
        <v>4.5161290322580641</v>
      </c>
    </row>
    <row r="49" spans="1:12" x14ac:dyDescent="0.3">
      <c r="D49" s="3"/>
      <c r="E49" s="3"/>
      <c r="F49" s="3"/>
      <c r="G49" s="3"/>
    </row>
    <row r="50" spans="1:12" x14ac:dyDescent="0.3">
      <c r="D50" s="3"/>
      <c r="E50" s="3"/>
      <c r="F50" s="3"/>
      <c r="G50" s="3"/>
    </row>
    <row r="51" spans="1:12" x14ac:dyDescent="0.3">
      <c r="A51" s="32"/>
      <c r="D51" s="3"/>
      <c r="E51" s="3"/>
      <c r="F51" s="3"/>
      <c r="G51" s="3"/>
    </row>
    <row r="52" spans="1:12" x14ac:dyDescent="0.3">
      <c r="A52" s="32"/>
      <c r="D52" s="3"/>
      <c r="E52" s="3"/>
      <c r="F52" s="3"/>
      <c r="G52" s="3"/>
    </row>
    <row r="53" spans="1:12" x14ac:dyDescent="0.3">
      <c r="A53" s="32"/>
      <c r="B53" s="2"/>
      <c r="C53" s="41"/>
      <c r="D53" s="58"/>
      <c r="E53" s="58"/>
      <c r="F53" s="58"/>
      <c r="G53" s="58"/>
    </row>
    <row r="54" spans="1:12" x14ac:dyDescent="0.3">
      <c r="A54" s="33"/>
      <c r="B54" s="61" t="s">
        <v>43</v>
      </c>
      <c r="C54" s="36"/>
      <c r="D54" s="48"/>
      <c r="E54" s="49"/>
      <c r="F54" s="49"/>
      <c r="G54" s="49"/>
    </row>
    <row r="55" spans="1:12" x14ac:dyDescent="0.3">
      <c r="A55"/>
      <c r="B55" s="2" t="s">
        <v>1</v>
      </c>
      <c r="C55" s="4">
        <v>0.16666666666666666</v>
      </c>
      <c r="D55" s="48"/>
      <c r="E55" s="49"/>
      <c r="F55" s="49"/>
      <c r="G55" s="49"/>
      <c r="J55" s="40"/>
      <c r="K55" s="6"/>
    </row>
    <row r="56" spans="1:12" x14ac:dyDescent="0.3">
      <c r="A56"/>
      <c r="B56" s="2" t="s">
        <v>4</v>
      </c>
      <c r="C56" s="5">
        <v>27</v>
      </c>
      <c r="D56" s="48"/>
      <c r="E56" s="49"/>
      <c r="F56" s="49"/>
      <c r="G56" s="49"/>
      <c r="I56" s="6"/>
      <c r="J56" s="48"/>
    </row>
    <row r="57" spans="1:12" ht="15" thickBot="1" x14ac:dyDescent="0.35">
      <c r="A57"/>
      <c r="B57" s="2" t="s">
        <v>7</v>
      </c>
      <c r="C57" s="7">
        <v>30</v>
      </c>
      <c r="D57" s="48"/>
      <c r="E57" s="49"/>
      <c r="F57" s="49"/>
      <c r="G57" s="49"/>
      <c r="I57" s="6"/>
      <c r="J57" s="49"/>
    </row>
    <row r="58" spans="1:12" ht="15.6" thickTop="1" thickBot="1" x14ac:dyDescent="0.35">
      <c r="A58"/>
      <c r="B58" s="2" t="s">
        <v>9</v>
      </c>
      <c r="C58" s="45">
        <f>Nring2/(2*Rring2)</f>
        <v>4.5000000000000009</v>
      </c>
      <c r="D58" s="48"/>
      <c r="E58" s="49"/>
      <c r="F58" s="49"/>
      <c r="I58" s="6"/>
      <c r="J58" s="49"/>
    </row>
    <row r="59" spans="1:12" ht="15.6" thickTop="1" thickBot="1" x14ac:dyDescent="0.35">
      <c r="A59"/>
      <c r="B59" s="2" t="s">
        <v>11</v>
      </c>
      <c r="C59" s="46">
        <f>2*Rring2/Nring2</f>
        <v>0.22222222222222218</v>
      </c>
      <c r="D59" s="48"/>
      <c r="E59" s="49"/>
      <c r="F59" s="49"/>
      <c r="G59" s="49"/>
      <c r="I59" s="6"/>
      <c r="J59" s="49"/>
    </row>
    <row r="60" spans="1:12" ht="15.6" thickTop="1" thickBot="1" x14ac:dyDescent="0.35">
      <c r="A60"/>
      <c r="B60" s="9" t="s">
        <v>31</v>
      </c>
      <c r="C60" s="47">
        <f>Rsun2+Rplanet2</f>
        <v>9</v>
      </c>
      <c r="D60" s="48"/>
      <c r="E60" s="48"/>
      <c r="F60" s="48"/>
      <c r="G60" s="48"/>
      <c r="H60" s="48"/>
      <c r="I60" s="6"/>
      <c r="J60" s="49"/>
    </row>
    <row r="61" spans="1:12" ht="15.6" thickTop="1" thickBot="1" x14ac:dyDescent="0.35">
      <c r="A61"/>
      <c r="B61" s="2" t="s">
        <v>13</v>
      </c>
      <c r="C61" s="46" t="s">
        <v>14</v>
      </c>
      <c r="D61" s="48"/>
      <c r="F61" s="48"/>
      <c r="G61" s="48"/>
      <c r="H61" s="48"/>
      <c r="I61" s="6"/>
      <c r="J61" s="49"/>
    </row>
    <row r="62" spans="1:12" ht="15.6" thickTop="1" thickBot="1" x14ac:dyDescent="0.35">
      <c r="A62"/>
      <c r="B62" s="2" t="s">
        <v>15</v>
      </c>
      <c r="C62" s="8">
        <v>20</v>
      </c>
      <c r="D62" s="6"/>
      <c r="E62" s="6"/>
      <c r="F62" s="9"/>
      <c r="G62" s="9"/>
      <c r="H62" s="6"/>
      <c r="I62" s="6"/>
      <c r="J62" s="49"/>
    </row>
    <row r="63" spans="1:12" ht="15.6" thickTop="1" thickBot="1" x14ac:dyDescent="0.35">
      <c r="A63"/>
      <c r="B63" s="2" t="s">
        <v>16</v>
      </c>
      <c r="C63" s="8">
        <f>1/Dpitch</f>
        <v>0.23809523809523808</v>
      </c>
      <c r="D63" s="6"/>
      <c r="E63" s="6"/>
      <c r="F63" s="9"/>
      <c r="G63" s="9"/>
      <c r="H63" s="9"/>
      <c r="I63" s="6"/>
      <c r="L63" s="6"/>
    </row>
    <row r="64" spans="1:12" ht="15.6" thickTop="1" thickBot="1" x14ac:dyDescent="0.35">
      <c r="A64"/>
      <c r="B64" s="2" t="s">
        <v>17</v>
      </c>
      <c r="C64" s="10">
        <f>1.25/Dpitch</f>
        <v>0.29761904761904762</v>
      </c>
      <c r="D64" s="6"/>
      <c r="E64" s="6"/>
      <c r="F64" s="9"/>
      <c r="G64" s="9"/>
      <c r="I64" s="6"/>
      <c r="L64" s="6"/>
    </row>
    <row r="65" spans="1:9" ht="15" thickTop="1" x14ac:dyDescent="0.3">
      <c r="A65"/>
      <c r="I65" s="6"/>
    </row>
    <row r="66" spans="1:9" ht="15" thickBot="1" x14ac:dyDescent="0.35">
      <c r="A66"/>
      <c r="B66" s="2" t="s">
        <v>18</v>
      </c>
      <c r="C66" s="2"/>
      <c r="D66" s="6"/>
      <c r="E66" s="2"/>
      <c r="F66" s="48"/>
      <c r="G66" s="9"/>
      <c r="H66" s="9"/>
      <c r="I66" s="6"/>
    </row>
    <row r="67" spans="1:9" ht="15.6" thickTop="1" thickBot="1" x14ac:dyDescent="0.35">
      <c r="A67"/>
      <c r="B67" s="2" t="s">
        <v>19</v>
      </c>
      <c r="C67" s="8">
        <f>C69/(1+((1-Ratio2)/Ratio2))</f>
        <v>2.7777777777777775E-3</v>
      </c>
      <c r="D67" s="9"/>
      <c r="E67" s="9"/>
      <c r="F67" s="9"/>
      <c r="G67" s="9"/>
      <c r="H67" s="49"/>
      <c r="I67" s="6"/>
    </row>
    <row r="68" spans="1:9" ht="15.6" thickTop="1" thickBot="1" x14ac:dyDescent="0.35">
      <c r="A68"/>
      <c r="B68" s="2" t="s">
        <v>20</v>
      </c>
      <c r="C68" s="8">
        <f>((1-Ratio2)/Ratio2)*xtwo</f>
        <v>1.388888888888889E-2</v>
      </c>
      <c r="D68" s="2"/>
      <c r="E68" s="9"/>
      <c r="F68" s="9"/>
      <c r="G68" s="9"/>
      <c r="H68" s="2"/>
      <c r="I68" s="6"/>
    </row>
    <row r="69" spans="1:9" ht="15" thickTop="1" x14ac:dyDescent="0.3">
      <c r="A69"/>
      <c r="B69" s="2" t="s">
        <v>21</v>
      </c>
      <c r="C69" s="4">
        <f>Table2[speed (RPM)]</f>
        <v>1.6666666666666666E-2</v>
      </c>
      <c r="D69" s="2"/>
      <c r="E69" s="9"/>
      <c r="F69" s="9"/>
      <c r="G69" s="2"/>
      <c r="H69" s="2"/>
      <c r="I69" s="6"/>
    </row>
    <row r="70" spans="1:9" x14ac:dyDescent="0.3">
      <c r="A70"/>
      <c r="B70" s="9"/>
      <c r="C70" s="9"/>
      <c r="D70" s="2"/>
      <c r="E70" s="2"/>
      <c r="F70" s="2"/>
      <c r="G70" s="2"/>
      <c r="H70" s="2"/>
      <c r="I70" s="6"/>
    </row>
    <row r="71" spans="1:9" x14ac:dyDescent="0.3">
      <c r="A71"/>
      <c r="B71" s="11"/>
      <c r="C71" s="11" t="s">
        <v>22</v>
      </c>
      <c r="D71" s="11" t="s">
        <v>20</v>
      </c>
      <c r="E71" s="11" t="s">
        <v>23</v>
      </c>
      <c r="F71" s="11" t="s">
        <v>24</v>
      </c>
      <c r="G71" s="11" t="s">
        <v>25</v>
      </c>
      <c r="H71" s="11" t="s">
        <v>26</v>
      </c>
      <c r="I71" s="6"/>
    </row>
    <row r="72" spans="1:9" x14ac:dyDescent="0.3">
      <c r="A72"/>
      <c r="B72" s="12" t="s">
        <v>27</v>
      </c>
      <c r="C72" s="13">
        <f>xtwo</f>
        <v>2.7777777777777775E-3</v>
      </c>
      <c r="D72" s="13">
        <f>ytwo</f>
        <v>1.388888888888889E-2</v>
      </c>
      <c r="E72" s="13">
        <f>C72+D72</f>
        <v>1.6666666666666666E-2</v>
      </c>
      <c r="F72" s="14">
        <f>C56</f>
        <v>27</v>
      </c>
      <c r="G72" s="14">
        <f>Nsun2/(2*Dpitch2)</f>
        <v>2.9999999999999996</v>
      </c>
      <c r="H72" s="15">
        <f>Rsun2*COS(RADIANS($C$20))</f>
        <v>2.8190778623577248</v>
      </c>
      <c r="I72" s="3"/>
    </row>
    <row r="73" spans="1:9" x14ac:dyDescent="0.3">
      <c r="A73"/>
      <c r="B73" s="16" t="s">
        <v>28</v>
      </c>
      <c r="C73" s="17">
        <f>xtwo</f>
        <v>2.7777777777777775E-3</v>
      </c>
      <c r="D73" s="17">
        <f>-ytwo*(Nsun2/Nplanet2)</f>
        <v>-6.9444444444444432E-3</v>
      </c>
      <c r="E73" s="17">
        <f>C73+D73</f>
        <v>-4.1666666666666657E-3</v>
      </c>
      <c r="F73" s="18">
        <f>(Nring2-Nsun2)/2</f>
        <v>54.000000000000014</v>
      </c>
      <c r="G73" s="18">
        <f>Nplanet2/(2*Dpitch2)</f>
        <v>6</v>
      </c>
      <c r="H73" s="19">
        <f>Rplanet2*COS(RADIANS($C$20))</f>
        <v>5.6381557247154506</v>
      </c>
      <c r="I73" s="6"/>
    </row>
    <row r="74" spans="1:9" ht="15" thickBot="1" x14ac:dyDescent="0.35">
      <c r="A74"/>
      <c r="B74" s="20" t="s">
        <v>29</v>
      </c>
      <c r="C74" s="21">
        <f>xtwo</f>
        <v>2.7777777777777775E-3</v>
      </c>
      <c r="D74" s="21">
        <v>0</v>
      </c>
      <c r="E74" s="22">
        <f>C74+D74</f>
        <v>2.7777777777777775E-3</v>
      </c>
      <c r="F74" s="23"/>
      <c r="G74" s="23"/>
      <c r="H74" s="24"/>
      <c r="I74" s="6"/>
    </row>
    <row r="75" spans="1:9" ht="15.6" thickTop="1" thickBot="1" x14ac:dyDescent="0.35">
      <c r="A75"/>
      <c r="B75" s="25" t="s">
        <v>30</v>
      </c>
      <c r="C75" s="26">
        <f>xtwo</f>
        <v>2.7777777777777775E-3</v>
      </c>
      <c r="D75" s="26">
        <f>-ytwo*(Nsun2/Nring2)</f>
        <v>-2.7777777777777775E-3</v>
      </c>
      <c r="E75" s="27">
        <f>C75+D75</f>
        <v>0</v>
      </c>
      <c r="F75" s="28">
        <f>(ytwo/xtwo)*(Nsun2)</f>
        <v>135.00000000000003</v>
      </c>
      <c r="G75" s="29">
        <f>C57/2</f>
        <v>15</v>
      </c>
      <c r="H75" s="30">
        <f>Rring2*COS(RADIANS($C$20))</f>
        <v>14.095389311788626</v>
      </c>
      <c r="I75" s="6"/>
    </row>
    <row r="76" spans="1:9" ht="15" thickTop="1" x14ac:dyDescent="0.3">
      <c r="A76"/>
      <c r="B76" s="6"/>
      <c r="C76" s="6"/>
      <c r="D76" s="6"/>
      <c r="E76" s="6"/>
      <c r="F76" s="6"/>
      <c r="G76" s="6"/>
      <c r="H76" s="6"/>
    </row>
    <row r="77" spans="1:9" x14ac:dyDescent="0.3">
      <c r="A77"/>
      <c r="B77" s="3"/>
      <c r="C77" s="3"/>
      <c r="D77" s="3"/>
      <c r="E77" s="3"/>
      <c r="F77" s="3"/>
      <c r="G77" s="3"/>
      <c r="H77" s="3"/>
      <c r="I77" s="6"/>
    </row>
    <row r="78" spans="1:9" x14ac:dyDescent="0.3">
      <c r="A78"/>
      <c r="B78" s="62" t="s">
        <v>44</v>
      </c>
      <c r="C78" s="40"/>
      <c r="D78" s="40"/>
      <c r="F78" s="39"/>
      <c r="H78" s="40"/>
      <c r="I78" s="6"/>
    </row>
    <row r="79" spans="1:9" ht="15" thickBot="1" x14ac:dyDescent="0.35">
      <c r="A79"/>
      <c r="B79" s="9" t="s">
        <v>1</v>
      </c>
      <c r="C79" s="52">
        <v>0.1</v>
      </c>
      <c r="D79" s="6"/>
      <c r="E79" s="39"/>
      <c r="F79" s="39"/>
      <c r="G79" s="40"/>
      <c r="H79" s="40"/>
      <c r="I79" s="6"/>
    </row>
    <row r="80" spans="1:9" ht="15.6" thickTop="1" thickBot="1" x14ac:dyDescent="0.35">
      <c r="B80" s="6" t="s">
        <v>47</v>
      </c>
      <c r="C80" s="10">
        <f>Table22[number of teeth]-Nring2</f>
        <v>15</v>
      </c>
      <c r="D80" s="6"/>
      <c r="E80" s="39"/>
      <c r="G80" s="42"/>
      <c r="I80" s="6"/>
    </row>
    <row r="81" spans="1:8" ht="15.6" thickTop="1" thickBot="1" x14ac:dyDescent="0.35">
      <c r="A81"/>
      <c r="B81" s="6" t="s">
        <v>48</v>
      </c>
      <c r="C81" s="10">
        <f>Table22[number of teeth]</f>
        <v>150.00000000000003</v>
      </c>
      <c r="D81" s="6"/>
      <c r="H81" s="42"/>
    </row>
    <row r="82" spans="1:8" ht="15.6" thickTop="1" thickBot="1" x14ac:dyDescent="0.35">
      <c r="A82"/>
      <c r="B82" s="6" t="s">
        <v>45</v>
      </c>
      <c r="C82" s="56">
        <f>Nplanet2</f>
        <v>54.000000000000014</v>
      </c>
      <c r="D82" s="6"/>
      <c r="H82" s="43"/>
    </row>
    <row r="83" spans="1:8" ht="15.6" thickTop="1" thickBot="1" x14ac:dyDescent="0.35">
      <c r="A83"/>
      <c r="B83" s="6" t="s">
        <v>46</v>
      </c>
      <c r="C83" s="10">
        <f>Rsun2+Rplanet2</f>
        <v>9</v>
      </c>
      <c r="D83" s="6"/>
    </row>
    <row r="84" spans="1:8" ht="15.6" thickTop="1" thickBot="1" x14ac:dyDescent="0.35">
      <c r="A84"/>
      <c r="B84" s="6" t="s">
        <v>50</v>
      </c>
      <c r="C84" s="10">
        <f>C83/(1-C82/C81)</f>
        <v>14.062500000000002</v>
      </c>
      <c r="D84" s="3"/>
      <c r="E84" s="3"/>
      <c r="F84" s="3"/>
      <c r="G84" s="3"/>
    </row>
    <row r="85" spans="1:8" ht="15.6" thickTop="1" thickBot="1" x14ac:dyDescent="0.35">
      <c r="A85"/>
      <c r="B85" s="6" t="s">
        <v>49</v>
      </c>
      <c r="C85" s="10">
        <f>C84*(C82/C81)</f>
        <v>5.0625000000000009</v>
      </c>
      <c r="D85" s="3"/>
      <c r="E85" s="3"/>
      <c r="F85" s="3"/>
      <c r="G85" s="3"/>
    </row>
    <row r="86" spans="1:8" ht="15.6" thickTop="1" thickBot="1" x14ac:dyDescent="0.35">
      <c r="B86" s="6" t="s">
        <v>51</v>
      </c>
      <c r="C86" s="10">
        <f>C82/(2*C85)</f>
        <v>5.3333333333333339</v>
      </c>
      <c r="D86" s="3"/>
      <c r="E86" s="3"/>
      <c r="F86" s="3"/>
      <c r="G86" s="3"/>
    </row>
    <row r="87" spans="1:8" ht="15" thickTop="1" x14ac:dyDescent="0.3">
      <c r="D87" s="3"/>
      <c r="E87" s="3"/>
      <c r="F87" s="3"/>
      <c r="G87" s="3"/>
    </row>
    <row r="88" spans="1:8" x14ac:dyDescent="0.3">
      <c r="B88" t="s">
        <v>36</v>
      </c>
      <c r="C88" t="s">
        <v>38</v>
      </c>
      <c r="D88" s="3" t="s">
        <v>37</v>
      </c>
      <c r="E88" s="39" t="s">
        <v>35</v>
      </c>
      <c r="F88" s="11" t="s">
        <v>24</v>
      </c>
      <c r="G88" s="11" t="s">
        <v>25</v>
      </c>
    </row>
    <row r="89" spans="1:8" x14ac:dyDescent="0.3">
      <c r="B89" s="2" t="s">
        <v>34</v>
      </c>
      <c r="D89" s="39"/>
      <c r="E89" s="57">
        <f>E74*hRatio2</f>
        <v>2.7777777777777778E-4</v>
      </c>
      <c r="F89" s="3">
        <f>(Nring2/(1-hRatio2))</f>
        <v>150.00000000000003</v>
      </c>
      <c r="G89" s="14">
        <f>C84</f>
        <v>14.062500000000002</v>
      </c>
    </row>
    <row r="90" spans="1:8" x14ac:dyDescent="0.3">
      <c r="B90" s="2" t="s">
        <v>52</v>
      </c>
      <c r="D90" s="51"/>
      <c r="E90" s="59">
        <f>E73</f>
        <v>-4.1666666666666657E-3</v>
      </c>
      <c r="F90" s="60">
        <f>C82</f>
        <v>54.000000000000014</v>
      </c>
      <c r="G90" s="18">
        <f>C85</f>
        <v>5.0625000000000009</v>
      </c>
    </row>
  </sheetData>
  <mergeCells count="8">
    <mergeCell ref="E17:F17"/>
    <mergeCell ref="E13:F13"/>
    <mergeCell ref="G13:H13"/>
    <mergeCell ref="E12:H12"/>
    <mergeCell ref="E14:F14"/>
    <mergeCell ref="G14:H14"/>
    <mergeCell ref="E15:F15"/>
    <mergeCell ref="E16:F16"/>
  </mergeCells>
  <pageMargins left="0.7" right="0.7" top="0.75" bottom="0.75" header="0.3" footer="0.3"/>
  <pageSetup orientation="portrait" r:id="rId1"/>
  <drawing r:id="rId2"/>
  <legacy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23" baseType="lpstr">
      <vt:lpstr>actual gear design</vt:lpstr>
      <vt:lpstr>Dpitch</vt:lpstr>
      <vt:lpstr>Dpitch2</vt:lpstr>
      <vt:lpstr>hRatio</vt:lpstr>
      <vt:lpstr>hRatio2</vt:lpstr>
      <vt:lpstr>Nplanet</vt:lpstr>
      <vt:lpstr>Nplanet2</vt:lpstr>
      <vt:lpstr>Nring</vt:lpstr>
      <vt:lpstr>Nring2</vt:lpstr>
      <vt:lpstr>Nsun</vt:lpstr>
      <vt:lpstr>Nsun2</vt:lpstr>
      <vt:lpstr>Ratio</vt:lpstr>
      <vt:lpstr>Ratio2</vt:lpstr>
      <vt:lpstr>Rplanet</vt:lpstr>
      <vt:lpstr>Rplanet2</vt:lpstr>
      <vt:lpstr>Rring</vt:lpstr>
      <vt:lpstr>Rring2</vt:lpstr>
      <vt:lpstr>Rsun</vt:lpstr>
      <vt:lpstr>Rsun2</vt:lpstr>
      <vt:lpstr>x</vt:lpstr>
      <vt:lpstr>xtwo</vt:lpstr>
      <vt:lpstr>y</vt:lpstr>
      <vt:lpstr>ytwo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2017-02-01T02:59:18Z</dcterms:created>
  <dcterms:modified xsi:type="dcterms:W3CDTF">2017-02-24T01:01:51Z</dcterms:modified>
</cp:coreProperties>
</file>